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w\District 5160 Dropbox\Team Folder for D5160\District 5160\District Financials\2020-2021 Financials\"/>
    </mc:Choice>
  </mc:AlternateContent>
  <xr:revisionPtr revIDLastSave="0" documentId="13_ncr:1_{4F8E147D-D7B0-45F4-ABC0-E50AE9733D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vs.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4" i="1" l="1"/>
  <c r="C164" i="1"/>
  <c r="C163" i="1"/>
  <c r="D163" i="1" s="1"/>
  <c r="C162" i="1"/>
  <c r="B162" i="1"/>
  <c r="D162" i="1" s="1"/>
  <c r="C161" i="1"/>
  <c r="B161" i="1"/>
  <c r="D161" i="1" s="1"/>
  <c r="C160" i="1"/>
  <c r="D160" i="1" s="1"/>
  <c r="C159" i="1"/>
  <c r="D159" i="1" s="1"/>
  <c r="D158" i="1"/>
  <c r="C158" i="1"/>
  <c r="D157" i="1"/>
  <c r="C157" i="1"/>
  <c r="B157" i="1"/>
  <c r="D156" i="1"/>
  <c r="C156" i="1"/>
  <c r="C155" i="1"/>
  <c r="C165" i="1" s="1"/>
  <c r="B155" i="1"/>
  <c r="B165" i="1" s="1"/>
  <c r="D165" i="1" s="1"/>
  <c r="D154" i="1"/>
  <c r="B153" i="1"/>
  <c r="C152" i="1"/>
  <c r="D152" i="1" s="1"/>
  <c r="D151" i="1"/>
  <c r="C151" i="1"/>
  <c r="D150" i="1"/>
  <c r="C150" i="1"/>
  <c r="C149" i="1"/>
  <c r="D149" i="1" s="1"/>
  <c r="C148" i="1"/>
  <c r="D148" i="1" s="1"/>
  <c r="D147" i="1"/>
  <c r="C147" i="1"/>
  <c r="D146" i="1"/>
  <c r="C146" i="1"/>
  <c r="C153" i="1" s="1"/>
  <c r="D145" i="1"/>
  <c r="D143" i="1"/>
  <c r="C143" i="1"/>
  <c r="B143" i="1"/>
  <c r="D142" i="1"/>
  <c r="C142" i="1"/>
  <c r="D141" i="1"/>
  <c r="B141" i="1"/>
  <c r="C140" i="1"/>
  <c r="D140" i="1" s="1"/>
  <c r="C139" i="1"/>
  <c r="B139" i="1"/>
  <c r="D139" i="1" s="1"/>
  <c r="C138" i="1"/>
  <c r="D138" i="1" s="1"/>
  <c r="C137" i="1"/>
  <c r="B137" i="1"/>
  <c r="D137" i="1" s="1"/>
  <c r="C136" i="1"/>
  <c r="D136" i="1" s="1"/>
  <c r="D135" i="1"/>
  <c r="C135" i="1"/>
  <c r="D134" i="1"/>
  <c r="C134" i="1"/>
  <c r="B134" i="1"/>
  <c r="D133" i="1"/>
  <c r="B133" i="1"/>
  <c r="D132" i="1"/>
  <c r="C132" i="1"/>
  <c r="B132" i="1"/>
  <c r="D131" i="1"/>
  <c r="C131" i="1"/>
  <c r="C144" i="1" s="1"/>
  <c r="B131" i="1"/>
  <c r="B144" i="1" s="1"/>
  <c r="D130" i="1"/>
  <c r="D129" i="1"/>
  <c r="D127" i="1"/>
  <c r="C127" i="1"/>
  <c r="B127" i="1"/>
  <c r="D126" i="1"/>
  <c r="C126" i="1"/>
  <c r="D125" i="1"/>
  <c r="C125" i="1"/>
  <c r="C124" i="1"/>
  <c r="D124" i="1" s="1"/>
  <c r="B124" i="1"/>
  <c r="B123" i="1"/>
  <c r="D123" i="1" s="1"/>
  <c r="C122" i="1"/>
  <c r="C128" i="1" s="1"/>
  <c r="B122" i="1"/>
  <c r="D122" i="1" s="1"/>
  <c r="D121" i="1"/>
  <c r="D119" i="1"/>
  <c r="C119" i="1"/>
  <c r="D118" i="1"/>
  <c r="C118" i="1"/>
  <c r="B118" i="1"/>
  <c r="D117" i="1"/>
  <c r="B117" i="1"/>
  <c r="C116" i="1"/>
  <c r="B116" i="1"/>
  <c r="D116" i="1" s="1"/>
  <c r="D115" i="1"/>
  <c r="C115" i="1"/>
  <c r="B115" i="1"/>
  <c r="D114" i="1"/>
  <c r="C114" i="1"/>
  <c r="B114" i="1"/>
  <c r="D113" i="1"/>
  <c r="C113" i="1"/>
  <c r="B113" i="1"/>
  <c r="C112" i="1"/>
  <c r="B112" i="1"/>
  <c r="D112" i="1" s="1"/>
  <c r="C111" i="1"/>
  <c r="B111" i="1"/>
  <c r="D111" i="1" s="1"/>
  <c r="C110" i="1"/>
  <c r="C120" i="1" s="1"/>
  <c r="B110" i="1"/>
  <c r="D110" i="1" s="1"/>
  <c r="D109" i="1"/>
  <c r="D107" i="1"/>
  <c r="C107" i="1"/>
  <c r="D106" i="1"/>
  <c r="C106" i="1"/>
  <c r="C105" i="1"/>
  <c r="D105" i="1" s="1"/>
  <c r="B105" i="1"/>
  <c r="C104" i="1"/>
  <c r="B104" i="1"/>
  <c r="D104" i="1" s="1"/>
  <c r="D103" i="1"/>
  <c r="C103" i="1"/>
  <c r="B103" i="1"/>
  <c r="D102" i="1"/>
  <c r="C102" i="1"/>
  <c r="C101" i="1"/>
  <c r="D101" i="1" s="1"/>
  <c r="C100" i="1"/>
  <c r="D100" i="1" s="1"/>
  <c r="D99" i="1"/>
  <c r="C99" i="1"/>
  <c r="D98" i="1"/>
  <c r="C98" i="1"/>
  <c r="C97" i="1"/>
  <c r="D97" i="1" s="1"/>
  <c r="C96" i="1"/>
  <c r="B96" i="1"/>
  <c r="D96" i="1" s="1"/>
  <c r="C95" i="1"/>
  <c r="D95" i="1" s="1"/>
  <c r="C94" i="1"/>
  <c r="D94" i="1" s="1"/>
  <c r="D93" i="1"/>
  <c r="C93" i="1"/>
  <c r="D92" i="1"/>
  <c r="C92" i="1"/>
  <c r="B91" i="1"/>
  <c r="D91" i="1" s="1"/>
  <c r="C90" i="1"/>
  <c r="D90" i="1" s="1"/>
  <c r="D89" i="1"/>
  <c r="C89" i="1"/>
  <c r="C108" i="1" s="1"/>
  <c r="D88" i="1"/>
  <c r="D87" i="1"/>
  <c r="D82" i="1"/>
  <c r="C82" i="1"/>
  <c r="B82" i="1"/>
  <c r="B83" i="1" s="1"/>
  <c r="D83" i="1" s="1"/>
  <c r="D81" i="1"/>
  <c r="C81" i="1"/>
  <c r="D80" i="1"/>
  <c r="C80" i="1"/>
  <c r="C83" i="1" s="1"/>
  <c r="D79" i="1"/>
  <c r="B78" i="1"/>
  <c r="D77" i="1"/>
  <c r="C77" i="1"/>
  <c r="D76" i="1"/>
  <c r="C76" i="1"/>
  <c r="C75" i="1"/>
  <c r="D75" i="1" s="1"/>
  <c r="B75" i="1"/>
  <c r="C74" i="1"/>
  <c r="D74" i="1" s="1"/>
  <c r="C73" i="1"/>
  <c r="D73" i="1" s="1"/>
  <c r="D72" i="1"/>
  <c r="C70" i="1"/>
  <c r="C71" i="1" s="1"/>
  <c r="B70" i="1"/>
  <c r="B71" i="1" s="1"/>
  <c r="D69" i="1"/>
  <c r="C67" i="1"/>
  <c r="C68" i="1" s="1"/>
  <c r="B67" i="1"/>
  <c r="B68" i="1" s="1"/>
  <c r="D66" i="1"/>
  <c r="D65" i="1"/>
  <c r="B61" i="1"/>
  <c r="D61" i="1" s="1"/>
  <c r="C60" i="1"/>
  <c r="B60" i="1"/>
  <c r="D60" i="1" s="1"/>
  <c r="B59" i="1"/>
  <c r="D59" i="1" s="1"/>
  <c r="D58" i="1"/>
  <c r="C58" i="1"/>
  <c r="B58" i="1"/>
  <c r="C57" i="1"/>
  <c r="B57" i="1"/>
  <c r="D57" i="1" s="1"/>
  <c r="C56" i="1"/>
  <c r="B56" i="1"/>
  <c r="D56" i="1" s="1"/>
  <c r="C55" i="1"/>
  <c r="B55" i="1"/>
  <c r="D55" i="1" s="1"/>
  <c r="C54" i="1"/>
  <c r="D54" i="1" s="1"/>
  <c r="B54" i="1"/>
  <c r="C53" i="1"/>
  <c r="D53" i="1" s="1"/>
  <c r="B53" i="1"/>
  <c r="D52" i="1"/>
  <c r="C52" i="1"/>
  <c r="B52" i="1"/>
  <c r="D51" i="1"/>
  <c r="C51" i="1"/>
  <c r="B51" i="1"/>
  <c r="D50" i="1"/>
  <c r="C50" i="1"/>
  <c r="B50" i="1"/>
  <c r="C49" i="1"/>
  <c r="B49" i="1"/>
  <c r="D49" i="1" s="1"/>
  <c r="C48" i="1"/>
  <c r="B48" i="1"/>
  <c r="D48" i="1" s="1"/>
  <c r="C47" i="1"/>
  <c r="B47" i="1"/>
  <c r="D47" i="1" s="1"/>
  <c r="C46" i="1"/>
  <c r="D46" i="1" s="1"/>
  <c r="B46" i="1"/>
  <c r="C45" i="1"/>
  <c r="D45" i="1" s="1"/>
  <c r="B45" i="1"/>
  <c r="D44" i="1"/>
  <c r="C44" i="1"/>
  <c r="C43" i="1"/>
  <c r="D43" i="1" s="1"/>
  <c r="B43" i="1"/>
  <c r="C42" i="1"/>
  <c r="D42" i="1" s="1"/>
  <c r="C41" i="1"/>
  <c r="D41" i="1" s="1"/>
  <c r="C40" i="1"/>
  <c r="B40" i="1"/>
  <c r="D40" i="1" s="1"/>
  <c r="C39" i="1"/>
  <c r="B39" i="1"/>
  <c r="D39" i="1" s="1"/>
  <c r="B38" i="1"/>
  <c r="D38" i="1" s="1"/>
  <c r="D37" i="1"/>
  <c r="C37" i="1"/>
  <c r="D36" i="1"/>
  <c r="C36" i="1"/>
  <c r="B36" i="1"/>
  <c r="D35" i="1"/>
  <c r="C35" i="1"/>
  <c r="D34" i="1"/>
  <c r="C34" i="1"/>
  <c r="B34" i="1"/>
  <c r="D33" i="1"/>
  <c r="C33" i="1"/>
  <c r="C32" i="1"/>
  <c r="D32" i="1" s="1"/>
  <c r="B32" i="1"/>
  <c r="D31" i="1"/>
  <c r="C31" i="1"/>
  <c r="B31" i="1"/>
  <c r="D30" i="1"/>
  <c r="C30" i="1"/>
  <c r="B30" i="1"/>
  <c r="C29" i="1"/>
  <c r="B29" i="1"/>
  <c r="D29" i="1" s="1"/>
  <c r="C28" i="1"/>
  <c r="B28" i="1"/>
  <c r="D28" i="1" s="1"/>
  <c r="C27" i="1"/>
  <c r="B27" i="1"/>
  <c r="D27" i="1" s="1"/>
  <c r="C26" i="1"/>
  <c r="D26" i="1" s="1"/>
  <c r="C25" i="1"/>
  <c r="B25" i="1"/>
  <c r="D25" i="1" s="1"/>
  <c r="C24" i="1"/>
  <c r="B24" i="1"/>
  <c r="D24" i="1" s="1"/>
  <c r="C23" i="1"/>
  <c r="B23" i="1"/>
  <c r="D23" i="1" s="1"/>
  <c r="C22" i="1"/>
  <c r="D22" i="1" s="1"/>
  <c r="B22" i="1"/>
  <c r="C21" i="1"/>
  <c r="D21" i="1" s="1"/>
  <c r="B21" i="1"/>
  <c r="D20" i="1"/>
  <c r="C20" i="1"/>
  <c r="C62" i="1" s="1"/>
  <c r="B20" i="1"/>
  <c r="D19" i="1"/>
  <c r="B19" i="1"/>
  <c r="B18" i="1"/>
  <c r="B62" i="1" s="1"/>
  <c r="D62" i="1" s="1"/>
  <c r="C14" i="1"/>
  <c r="D14" i="1" s="1"/>
  <c r="C13" i="1"/>
  <c r="B13" i="1"/>
  <c r="D13" i="1" s="1"/>
  <c r="C12" i="1"/>
  <c r="D12" i="1" s="1"/>
  <c r="B12" i="1"/>
  <c r="C11" i="1"/>
  <c r="C15" i="1" s="1"/>
  <c r="C16" i="1" s="1"/>
  <c r="C63" i="1" s="1"/>
  <c r="B11" i="1"/>
  <c r="D10" i="1"/>
  <c r="C10" i="1"/>
  <c r="B10" i="1"/>
  <c r="D9" i="1"/>
  <c r="C9" i="1"/>
  <c r="B9" i="1"/>
  <c r="C8" i="1"/>
  <c r="B8" i="1"/>
  <c r="D8" i="1" s="1"/>
  <c r="B84" i="1" l="1"/>
  <c r="D68" i="1"/>
  <c r="D153" i="1"/>
  <c r="D144" i="1"/>
  <c r="B166" i="1"/>
  <c r="D166" i="1" s="1"/>
  <c r="C166" i="1"/>
  <c r="C167" i="1" s="1"/>
  <c r="C168" i="1" s="1"/>
  <c r="D71" i="1"/>
  <c r="D11" i="1"/>
  <c r="D18" i="1"/>
  <c r="D70" i="1"/>
  <c r="B108" i="1"/>
  <c r="B120" i="1"/>
  <c r="D120" i="1" s="1"/>
  <c r="D155" i="1"/>
  <c r="B15" i="1"/>
  <c r="D67" i="1"/>
  <c r="C78" i="1"/>
  <c r="D78" i="1" s="1"/>
  <c r="B128" i="1"/>
  <c r="D128" i="1" s="1"/>
  <c r="B167" i="1" l="1"/>
  <c r="D108" i="1"/>
  <c r="B85" i="1"/>
  <c r="B16" i="1"/>
  <c r="D15" i="1"/>
  <c r="C84" i="1"/>
  <c r="C85" i="1" s="1"/>
  <c r="C169" i="1" s="1"/>
  <c r="C170" i="1" s="1"/>
  <c r="D84" i="1" l="1"/>
  <c r="D85" i="1"/>
  <c r="D16" i="1"/>
  <c r="B63" i="1"/>
  <c r="D167" i="1"/>
  <c r="B168" i="1"/>
  <c r="D168" i="1" s="1"/>
  <c r="D63" i="1" l="1"/>
  <c r="B169" i="1"/>
  <c r="D169" i="1" s="1"/>
  <c r="B170" i="1" l="1"/>
  <c r="D170" i="1" s="1"/>
</calcChain>
</file>

<file path=xl/sharedStrings.xml><?xml version="1.0" encoding="utf-8"?>
<sst xmlns="http://schemas.openxmlformats.org/spreadsheetml/2006/main" count="170" uniqueCount="162">
  <si>
    <t>Actual</t>
  </si>
  <si>
    <t>Budget</t>
  </si>
  <si>
    <t>Income</t>
  </si>
  <si>
    <t xml:space="preserve">   4100 Dues from Member Clubs</t>
  </si>
  <si>
    <t xml:space="preserve">   4105 Grant Income</t>
  </si>
  <si>
    <t xml:space="preserve">   4120 Registration Fee Income Events</t>
  </si>
  <si>
    <t xml:space="preserve">   4160 Rotary International Allowance</t>
  </si>
  <si>
    <t xml:space="preserve">   4170 Interest income</t>
  </si>
  <si>
    <t xml:space="preserve">   4300 Administration Income</t>
  </si>
  <si>
    <t xml:space="preserve">   4999 Misc Income</t>
  </si>
  <si>
    <t>Total Income</t>
  </si>
  <si>
    <t>Gross Profit</t>
  </si>
  <si>
    <t>Expenses</t>
  </si>
  <si>
    <t xml:space="preserve">   5130 Distribution to Clubs</t>
  </si>
  <si>
    <t xml:space="preserve">   5150 Background Checks</t>
  </si>
  <si>
    <t xml:space="preserve">   5178 Grants</t>
  </si>
  <si>
    <t xml:space="preserve">   5200 Awards &amp; Recognitions</t>
  </si>
  <si>
    <t xml:space="preserve">   5300 Printing &amp; Supplies</t>
  </si>
  <si>
    <t xml:space="preserve">   5510 Event Facilities &amp; Catering</t>
  </si>
  <si>
    <t xml:space="preserve">   5515 Speaker and Program Costs</t>
  </si>
  <si>
    <t xml:space="preserve">   5527 Tax preparation</t>
  </si>
  <si>
    <t xml:space="preserve">   5530 Contracted Administrative Service</t>
  </si>
  <si>
    <t xml:space="preserve">   5616 District Bookkeeping</t>
  </si>
  <si>
    <t xml:space="preserve">   5700.1 Mileage</t>
  </si>
  <si>
    <t xml:space="preserve">   5700.2 Lodging</t>
  </si>
  <si>
    <t xml:space="preserve">   5700.4 Club Visit Tolls</t>
  </si>
  <si>
    <t xml:space="preserve">   5700.5 Meals</t>
  </si>
  <si>
    <t xml:space="preserve">   5720.1 DG Training Mileage</t>
  </si>
  <si>
    <t xml:space="preserve">   5720.2 DG Training Lodging</t>
  </si>
  <si>
    <t xml:space="preserve">   5720.4 Tolls, Parking</t>
  </si>
  <si>
    <t xml:space="preserve">   5720.5 DG Training Meals</t>
  </si>
  <si>
    <t xml:space="preserve">   5740.1 DG DC Conf Mileage</t>
  </si>
  <si>
    <t xml:space="preserve">   5740.2 DG DC Conf Lodging</t>
  </si>
  <si>
    <t xml:space="preserve">   5740.4 DG DC Conf Tolls, Parking</t>
  </si>
  <si>
    <t xml:space="preserve">   5740.5 DG DC Conf Meals</t>
  </si>
  <si>
    <t xml:space="preserve">   5780.1 DC OtherMileage</t>
  </si>
  <si>
    <t xml:space="preserve">   5780.2 DG Other Lodging</t>
  </si>
  <si>
    <t xml:space="preserve">   5780.3 DG Other Transportation</t>
  </si>
  <si>
    <t xml:space="preserve">   5780.4 DG Other Tolls, Parking</t>
  </si>
  <si>
    <t xml:space="preserve">   5780.5 DG Other Meals</t>
  </si>
  <si>
    <t xml:space="preserve">   5810 General  Mileage</t>
  </si>
  <si>
    <t xml:space="preserve">   5811 General Transportation</t>
  </si>
  <si>
    <t xml:space="preserve">   5812 General Meals</t>
  </si>
  <si>
    <t xml:space="preserve">   5813 General Lodging</t>
  </si>
  <si>
    <t xml:space="preserve">   5819 General Other Travel</t>
  </si>
  <si>
    <t xml:space="preserve">   5820 Conference Attendance Fees</t>
  </si>
  <si>
    <t xml:space="preserve">   5830 Business Meals</t>
  </si>
  <si>
    <t xml:space="preserve">   5850 Gift Expense</t>
  </si>
  <si>
    <t xml:space="preserve">   6100 Taxes, Licenses, Fees</t>
  </si>
  <si>
    <t xml:space="preserve">   6310 Prof. Services</t>
  </si>
  <si>
    <t xml:space="preserve">   6320 Computer/Web/IT support</t>
  </si>
  <si>
    <t xml:space="preserve">   6610 Rent</t>
  </si>
  <si>
    <t xml:space="preserve">   6611 District Shirts</t>
  </si>
  <si>
    <t xml:space="preserve">   6640 Postage</t>
  </si>
  <si>
    <t xml:space="preserve">   6800 Bank charges</t>
  </si>
  <si>
    <t xml:space="preserve">   6801 Credit Card Discount</t>
  </si>
  <si>
    <t xml:space="preserve">   6990 Miscellaneous</t>
  </si>
  <si>
    <t>Total Expenses</t>
  </si>
  <si>
    <t>Net Operating Income</t>
  </si>
  <si>
    <t>Other Income</t>
  </si>
  <si>
    <t xml:space="preserve">   Youth Group Income</t>
  </si>
  <si>
    <t xml:space="preserve">      Camp Royal</t>
  </si>
  <si>
    <t xml:space="preserve">         400 Campership income</t>
  </si>
  <si>
    <t xml:space="preserve">      Total Camp Royal</t>
  </si>
  <si>
    <t xml:space="preserve">      Camp Venture</t>
  </si>
  <si>
    <t xml:space="preserve">         300 Camper Fee Income</t>
  </si>
  <si>
    <t xml:space="preserve">      Total Camp Venture</t>
  </si>
  <si>
    <t xml:space="preserve">      Interact</t>
  </si>
  <si>
    <t xml:space="preserve">         201 Interact Gear Wear</t>
  </si>
  <si>
    <t xml:space="preserve">         202 Donations Received</t>
  </si>
  <si>
    <t xml:space="preserve">         205 Kickoff Event income</t>
  </si>
  <si>
    <t xml:space="preserve">         206 Interact Conference</t>
  </si>
  <si>
    <t xml:space="preserve">         209 Boat Cruise</t>
  </si>
  <si>
    <t xml:space="preserve">      Total Interact</t>
  </si>
  <si>
    <t xml:space="preserve">      Youth Exchange</t>
  </si>
  <si>
    <t xml:space="preserve">         100 Inbound Club Assessments</t>
  </si>
  <si>
    <t xml:space="preserve">         102 Outbound Club Assessments</t>
  </si>
  <si>
    <t xml:space="preserve">         103 Flat Fees for Outbound students</t>
  </si>
  <si>
    <t xml:space="preserve">      Total Youth Exchange</t>
  </si>
  <si>
    <t xml:space="preserve">   Total Youth Group Income</t>
  </si>
  <si>
    <t>Total Other Income</t>
  </si>
  <si>
    <t>Other Expenses</t>
  </si>
  <si>
    <t xml:space="preserve">   Youth Programs Expenses</t>
  </si>
  <si>
    <t xml:space="preserve">         420 Office Supplies</t>
  </si>
  <si>
    <t xml:space="preserve">         421 CR Background Checks</t>
  </si>
  <si>
    <t xml:space="preserve">         422 CR Office Supplies</t>
  </si>
  <si>
    <t xml:space="preserve">         424 EMT Medical Services</t>
  </si>
  <si>
    <t xml:space="preserve">         425 Medical insurance</t>
  </si>
  <si>
    <t xml:space="preserve">         427 Lunch--Bus trip</t>
  </si>
  <si>
    <t xml:space="preserve">         428 Bus transportation</t>
  </si>
  <si>
    <t xml:space="preserve">         429 Other camp expense</t>
  </si>
  <si>
    <t xml:space="preserve">         430 Books, Subscriptions, Reference</t>
  </si>
  <si>
    <t xml:space="preserve">         431 Staff dinner and refreshments</t>
  </si>
  <si>
    <t xml:space="preserve">         432 Postage, Mailing Service</t>
  </si>
  <si>
    <t xml:space="preserve">         442 Name tags</t>
  </si>
  <si>
    <t xml:space="preserve">         443 Septic service</t>
  </si>
  <si>
    <t xml:space="preserve">         444 Bottles</t>
  </si>
  <si>
    <t xml:space="preserve">         446 Speaker fees</t>
  </si>
  <si>
    <t xml:space="preserve">         447 Shirts and sweatshirts</t>
  </si>
  <si>
    <t xml:space="preserve">         448 Odyssey program services</t>
  </si>
  <si>
    <t xml:space="preserve">         449 Bar 717 Venue and Service</t>
  </si>
  <si>
    <t xml:space="preserve">         451 Fuel reimbursement--other</t>
  </si>
  <si>
    <t xml:space="preserve">         304 Awards</t>
  </si>
  <si>
    <t xml:space="preserve">         305 Travel and Meetings</t>
  </si>
  <si>
    <t xml:space="preserve">         307 Other Costs</t>
  </si>
  <si>
    <t xml:space="preserve">         308 Supplies</t>
  </si>
  <si>
    <t xml:space="preserve">         309 Insurance - Liability, D and O</t>
  </si>
  <si>
    <t xml:space="preserve">         312 Facilities and Equipment</t>
  </si>
  <si>
    <t xml:space="preserve">         313 Contract Services</t>
  </si>
  <si>
    <t xml:space="preserve">         316 Outside Contract Services</t>
  </si>
  <si>
    <t xml:space="preserve">         324 Postage and delivery</t>
  </si>
  <si>
    <t xml:space="preserve">         Background Checks</t>
  </si>
  <si>
    <t xml:space="preserve">         220 Postage</t>
  </si>
  <si>
    <t xml:space="preserve">         221 Interact Supplies</t>
  </si>
  <si>
    <t xml:space="preserve">         222 Other Types of Expenses</t>
  </si>
  <si>
    <t xml:space="preserve">         223 Conference, Convention, Meeting</t>
  </si>
  <si>
    <t xml:space="preserve">         228 Boat Cruise expense</t>
  </si>
  <si>
    <t xml:space="preserve">         230 Discount Fees</t>
  </si>
  <si>
    <t xml:space="preserve">         Administration</t>
  </si>
  <si>
    <t xml:space="preserve">            140 Shipping</t>
  </si>
  <si>
    <t xml:space="preserve">            141 NAYEN Conference</t>
  </si>
  <si>
    <t xml:space="preserve">            142 YEX Event Registrations</t>
  </si>
  <si>
    <t xml:space="preserve">            143 YEX Hotel</t>
  </si>
  <si>
    <t xml:space="preserve">            144 Transportation</t>
  </si>
  <si>
    <t xml:space="preserve">            145 Personal Auto Mileage</t>
  </si>
  <si>
    <t xml:space="preserve">            146 YEX Background Checks</t>
  </si>
  <si>
    <t xml:space="preserve">            148 Office</t>
  </si>
  <si>
    <t xml:space="preserve">            150 Admin YEX Postage</t>
  </si>
  <si>
    <t xml:space="preserve">            152 YEX Admin Business Cards</t>
  </si>
  <si>
    <t xml:space="preserve">            154 Bank Service Charges</t>
  </si>
  <si>
    <t xml:space="preserve">            155 YEX Admin Miscellaneous</t>
  </si>
  <si>
    <t xml:space="preserve">            157 Wessex Dues</t>
  </si>
  <si>
    <t xml:space="preserve">         Total Administration</t>
  </si>
  <si>
    <t xml:space="preserve">         Inbound Expenses</t>
  </si>
  <si>
    <t xml:space="preserve">            131 Good Bye Weekend</t>
  </si>
  <si>
    <t xml:space="preserve">            132 Inbound Wessex Dues</t>
  </si>
  <si>
    <t xml:space="preserve">            133 Inbound Orientation</t>
  </si>
  <si>
    <t xml:space="preserve">            134 Tahoe Trip</t>
  </si>
  <si>
    <t xml:space="preserve">            135 SF Trip</t>
  </si>
  <si>
    <t xml:space="preserve">            137 District Conference</t>
  </si>
  <si>
    <t xml:space="preserve">            138 Shirts</t>
  </si>
  <si>
    <t xml:space="preserve">         Total Inbound Expenses</t>
  </si>
  <si>
    <t xml:space="preserve">         Outbound Expenses</t>
  </si>
  <si>
    <t xml:space="preserve">            120 Misc.</t>
  </si>
  <si>
    <t xml:space="preserve">            121 Wessex Dues</t>
  </si>
  <si>
    <t xml:space="preserve">            123 Blazers</t>
  </si>
  <si>
    <t xml:space="preserve">            124 Student Travel and Visa</t>
  </si>
  <si>
    <t xml:space="preserve">            125 Host Language/Orientation Camp</t>
  </si>
  <si>
    <t xml:space="preserve">            126 YEX Insurance</t>
  </si>
  <si>
    <t xml:space="preserve">            127 Badges</t>
  </si>
  <si>
    <t xml:space="preserve">            128 Interview Costs</t>
  </si>
  <si>
    <t xml:space="preserve">            129 Patches</t>
  </si>
  <si>
    <t xml:space="preserve">            130 Orientation-Outbound</t>
  </si>
  <si>
    <t xml:space="preserve">         Total Outbound Expenses</t>
  </si>
  <si>
    <t xml:space="preserve">   Total Youth Programs Expenses</t>
  </si>
  <si>
    <t>Total Other Expenses</t>
  </si>
  <si>
    <t>Net Other Income</t>
  </si>
  <si>
    <t>Net Income</t>
  </si>
  <si>
    <t>Rotary International District 5160</t>
  </si>
  <si>
    <t>Budget vrs Actual</t>
  </si>
  <si>
    <t>July 2020 - June 2021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</si>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</sst>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1"/>
  <sheetViews>
    <sheetView tabSelected="1" workbookViewId="0">
      <selection activeCell="D7" sqref="D7"/>
    </sheetView>
  </sheetViews>
  <sheetFormatPr defaultRowHeight="14.4" x14ac:dyDescent="0.3"/>
  <cols>
    <col min="1" max="1" width="40.44140625" customWidth="1"/>
    <col min="2" max="4" width="15.44140625" customWidth="1"/>
  </cols>
  <sheetData>
    <row r="1" spans="1:4" ht="17.399999999999999" x14ac:dyDescent="0.3">
      <c r="A1" s="8" t="s">
        <v>158</v>
      </c>
      <c r="B1" s="9"/>
      <c r="C1" s="9"/>
      <c r="D1" s="9"/>
    </row>
    <row r="2" spans="1:4" ht="17.399999999999999" x14ac:dyDescent="0.3">
      <c r="A2" s="8" t="s">
        <v>159</v>
      </c>
      <c r="B2" s="9"/>
      <c r="C2" s="9"/>
      <c r="D2" s="9"/>
    </row>
    <row r="3" spans="1:4" x14ac:dyDescent="0.3">
      <c r="A3" s="10" t="s">
        <v>160</v>
      </c>
      <c r="B3" s="9"/>
      <c r="C3" s="9"/>
      <c r="D3" s="9"/>
    </row>
    <row r="5" spans="1:4" x14ac:dyDescent="0.3">
      <c r="A5" s="1"/>
      <c r="B5" s="11"/>
      <c r="C5" s="1"/>
      <c r="D5" s="1"/>
    </row>
    <row r="6" spans="1:4" x14ac:dyDescent="0.3">
      <c r="A6" s="1"/>
      <c r="B6" s="2" t="s">
        <v>0</v>
      </c>
      <c r="C6" s="2" t="s">
        <v>1</v>
      </c>
      <c r="D6" s="2" t="s">
        <v>161</v>
      </c>
    </row>
    <row r="7" spans="1:4" x14ac:dyDescent="0.3">
      <c r="A7" s="3" t="s">
        <v>2</v>
      </c>
      <c r="B7" s="4"/>
      <c r="C7" s="4"/>
      <c r="D7" s="4"/>
    </row>
    <row r="8" spans="1:4" x14ac:dyDescent="0.3">
      <c r="A8" s="3" t="s">
        <v>3</v>
      </c>
      <c r="B8" s="5">
        <f>163384</f>
        <v>163384</v>
      </c>
      <c r="C8" s="5">
        <f>169500</f>
        <v>169500</v>
      </c>
      <c r="D8" s="5">
        <f t="shared" ref="D8:D16" si="0">(B8)-(C8)</f>
        <v>-6116</v>
      </c>
    </row>
    <row r="9" spans="1:4" x14ac:dyDescent="0.3">
      <c r="A9" s="3" t="s">
        <v>4</v>
      </c>
      <c r="B9" s="5">
        <f>185858</f>
        <v>185858</v>
      </c>
      <c r="C9" s="5">
        <f>185679</f>
        <v>185679</v>
      </c>
      <c r="D9" s="5">
        <f t="shared" si="0"/>
        <v>179</v>
      </c>
    </row>
    <row r="10" spans="1:4" x14ac:dyDescent="0.3">
      <c r="A10" s="3" t="s">
        <v>5</v>
      </c>
      <c r="B10" s="5">
        <f>7120</f>
        <v>7120</v>
      </c>
      <c r="C10" s="5">
        <f>75800</f>
        <v>75800</v>
      </c>
      <c r="D10" s="5">
        <f t="shared" si="0"/>
        <v>-68680</v>
      </c>
    </row>
    <row r="11" spans="1:4" x14ac:dyDescent="0.3">
      <c r="A11" s="3" t="s">
        <v>6</v>
      </c>
      <c r="B11" s="5">
        <f>18922</f>
        <v>18922</v>
      </c>
      <c r="C11" s="5">
        <f>21000</f>
        <v>21000</v>
      </c>
      <c r="D11" s="5">
        <f t="shared" si="0"/>
        <v>-2078</v>
      </c>
    </row>
    <row r="12" spans="1:4" x14ac:dyDescent="0.3">
      <c r="A12" s="3" t="s">
        <v>7</v>
      </c>
      <c r="B12" s="5">
        <f>166.31</f>
        <v>166.31</v>
      </c>
      <c r="C12" s="5">
        <f>200</f>
        <v>200</v>
      </c>
      <c r="D12" s="5">
        <f t="shared" si="0"/>
        <v>-33.69</v>
      </c>
    </row>
    <row r="13" spans="1:4" x14ac:dyDescent="0.3">
      <c r="A13" s="3" t="s">
        <v>8</v>
      </c>
      <c r="B13" s="5">
        <f>5568</f>
        <v>5568</v>
      </c>
      <c r="C13" s="5">
        <f>5500</f>
        <v>5500</v>
      </c>
      <c r="D13" s="5">
        <f t="shared" si="0"/>
        <v>68</v>
      </c>
    </row>
    <row r="14" spans="1:4" x14ac:dyDescent="0.3">
      <c r="A14" s="3" t="s">
        <v>9</v>
      </c>
      <c r="B14" s="4"/>
      <c r="C14" s="5">
        <f>1000</f>
        <v>1000</v>
      </c>
      <c r="D14" s="5">
        <f t="shared" si="0"/>
        <v>-1000</v>
      </c>
    </row>
    <row r="15" spans="1:4" x14ac:dyDescent="0.3">
      <c r="A15" s="3" t="s">
        <v>10</v>
      </c>
      <c r="B15" s="6">
        <f>((((((B8)+(B9))+(B10))+(B11))+(B12))+(B13))+(B14)</f>
        <v>381018.31</v>
      </c>
      <c r="C15" s="6">
        <f>((((((C8)+(C9))+(C10))+(C11))+(C12))+(C13))+(C14)</f>
        <v>458679</v>
      </c>
      <c r="D15" s="6">
        <f t="shared" si="0"/>
        <v>-77660.69</v>
      </c>
    </row>
    <row r="16" spans="1:4" x14ac:dyDescent="0.3">
      <c r="A16" s="3" t="s">
        <v>11</v>
      </c>
      <c r="B16" s="6">
        <f>(B15)-(0)</f>
        <v>381018.31</v>
      </c>
      <c r="C16" s="6">
        <f>(C15)-(0)</f>
        <v>458679</v>
      </c>
      <c r="D16" s="6">
        <f t="shared" si="0"/>
        <v>-77660.69</v>
      </c>
    </row>
    <row r="17" spans="1:4" x14ac:dyDescent="0.3">
      <c r="A17" s="3" t="s">
        <v>12</v>
      </c>
      <c r="B17" s="4"/>
      <c r="C17" s="4"/>
      <c r="D17" s="4"/>
    </row>
    <row r="18" spans="1:4" x14ac:dyDescent="0.3">
      <c r="A18" s="3" t="s">
        <v>13</v>
      </c>
      <c r="B18" s="5">
        <f>50400</f>
        <v>50400</v>
      </c>
      <c r="C18" s="4"/>
      <c r="D18" s="5">
        <f t="shared" ref="D18:D63" si="1">(B18)-(C18)</f>
        <v>50400</v>
      </c>
    </row>
    <row r="19" spans="1:4" x14ac:dyDescent="0.3">
      <c r="A19" s="3" t="s">
        <v>14</v>
      </c>
      <c r="B19" s="5">
        <f>17.6</f>
        <v>17.600000000000001</v>
      </c>
      <c r="C19" s="4"/>
      <c r="D19" s="5">
        <f t="shared" si="1"/>
        <v>17.600000000000001</v>
      </c>
    </row>
    <row r="20" spans="1:4" x14ac:dyDescent="0.3">
      <c r="A20" s="3" t="s">
        <v>15</v>
      </c>
      <c r="B20" s="5">
        <f>185858</f>
        <v>185858</v>
      </c>
      <c r="C20" s="5">
        <f>185679</f>
        <v>185679</v>
      </c>
      <c r="D20" s="5">
        <f t="shared" si="1"/>
        <v>179</v>
      </c>
    </row>
    <row r="21" spans="1:4" x14ac:dyDescent="0.3">
      <c r="A21" s="3" t="s">
        <v>16</v>
      </c>
      <c r="B21" s="5">
        <f>650</f>
        <v>650</v>
      </c>
      <c r="C21" s="5">
        <f>2500</f>
        <v>2500</v>
      </c>
      <c r="D21" s="5">
        <f t="shared" si="1"/>
        <v>-1850</v>
      </c>
    </row>
    <row r="22" spans="1:4" x14ac:dyDescent="0.3">
      <c r="A22" s="3" t="s">
        <v>17</v>
      </c>
      <c r="B22" s="5">
        <f>16347.1</f>
        <v>16347.1</v>
      </c>
      <c r="C22" s="5">
        <f>16400</f>
        <v>16400</v>
      </c>
      <c r="D22" s="5">
        <f t="shared" si="1"/>
        <v>-52.899999999999636</v>
      </c>
    </row>
    <row r="23" spans="1:4" x14ac:dyDescent="0.3">
      <c r="A23" s="3" t="s">
        <v>18</v>
      </c>
      <c r="B23" s="5">
        <f>831.6</f>
        <v>831.6</v>
      </c>
      <c r="C23" s="5">
        <f>125500</f>
        <v>125500</v>
      </c>
      <c r="D23" s="5">
        <f t="shared" si="1"/>
        <v>-124668.4</v>
      </c>
    </row>
    <row r="24" spans="1:4" x14ac:dyDescent="0.3">
      <c r="A24" s="3" t="s">
        <v>19</v>
      </c>
      <c r="B24" s="5">
        <f>2585</f>
        <v>2585</v>
      </c>
      <c r="C24" s="5">
        <f>5000</f>
        <v>5000</v>
      </c>
      <c r="D24" s="5">
        <f t="shared" si="1"/>
        <v>-2415</v>
      </c>
    </row>
    <row r="25" spans="1:4" x14ac:dyDescent="0.3">
      <c r="A25" s="3" t="s">
        <v>20</v>
      </c>
      <c r="B25" s="5">
        <f>1800</f>
        <v>1800</v>
      </c>
      <c r="C25" s="5">
        <f>1700</f>
        <v>1700</v>
      </c>
      <c r="D25" s="5">
        <f t="shared" si="1"/>
        <v>100</v>
      </c>
    </row>
    <row r="26" spans="1:4" x14ac:dyDescent="0.3">
      <c r="A26" s="3" t="s">
        <v>21</v>
      </c>
      <c r="B26" s="4"/>
      <c r="C26" s="5">
        <f>16000</f>
        <v>16000</v>
      </c>
      <c r="D26" s="5">
        <f t="shared" si="1"/>
        <v>-16000</v>
      </c>
    </row>
    <row r="27" spans="1:4" x14ac:dyDescent="0.3">
      <c r="A27" s="3" t="s">
        <v>22</v>
      </c>
      <c r="B27" s="5">
        <f>826.5</f>
        <v>826.5</v>
      </c>
      <c r="C27" s="5">
        <f>4500</f>
        <v>4500</v>
      </c>
      <c r="D27" s="5">
        <f t="shared" si="1"/>
        <v>-3673.5</v>
      </c>
    </row>
    <row r="28" spans="1:4" x14ac:dyDescent="0.3">
      <c r="A28" s="3" t="s">
        <v>23</v>
      </c>
      <c r="B28" s="5">
        <f>1741.91</f>
        <v>1741.91</v>
      </c>
      <c r="C28" s="5">
        <f>6000</f>
        <v>6000</v>
      </c>
      <c r="D28" s="5">
        <f t="shared" si="1"/>
        <v>-4258.09</v>
      </c>
    </row>
    <row r="29" spans="1:4" x14ac:dyDescent="0.3">
      <c r="A29" s="3" t="s">
        <v>24</v>
      </c>
      <c r="B29" s="5">
        <f>1636.69</f>
        <v>1636.69</v>
      </c>
      <c r="C29" s="5">
        <f>7000</f>
        <v>7000</v>
      </c>
      <c r="D29" s="5">
        <f t="shared" si="1"/>
        <v>-5363.3099999999995</v>
      </c>
    </row>
    <row r="30" spans="1:4" x14ac:dyDescent="0.3">
      <c r="A30" s="3" t="s">
        <v>25</v>
      </c>
      <c r="B30" s="5">
        <f>60</f>
        <v>60</v>
      </c>
      <c r="C30" s="5">
        <f>200</f>
        <v>200</v>
      </c>
      <c r="D30" s="5">
        <f t="shared" si="1"/>
        <v>-140</v>
      </c>
    </row>
    <row r="31" spans="1:4" x14ac:dyDescent="0.3">
      <c r="A31" s="3" t="s">
        <v>26</v>
      </c>
      <c r="B31" s="5">
        <f>134.71</f>
        <v>134.71</v>
      </c>
      <c r="C31" s="5">
        <f>700</f>
        <v>700</v>
      </c>
      <c r="D31" s="5">
        <f t="shared" si="1"/>
        <v>-565.29</v>
      </c>
    </row>
    <row r="32" spans="1:4" x14ac:dyDescent="0.3">
      <c r="A32" s="3" t="s">
        <v>27</v>
      </c>
      <c r="B32" s="5">
        <f>53.76</f>
        <v>53.76</v>
      </c>
      <c r="C32" s="5">
        <f>800</f>
        <v>800</v>
      </c>
      <c r="D32" s="5">
        <f t="shared" si="1"/>
        <v>-746.24</v>
      </c>
    </row>
    <row r="33" spans="1:4" x14ac:dyDescent="0.3">
      <c r="A33" s="3" t="s">
        <v>28</v>
      </c>
      <c r="B33" s="4"/>
      <c r="C33" s="5">
        <f>800</f>
        <v>800</v>
      </c>
      <c r="D33" s="5">
        <f t="shared" si="1"/>
        <v>-800</v>
      </c>
    </row>
    <row r="34" spans="1:4" x14ac:dyDescent="0.3">
      <c r="A34" s="3" t="s">
        <v>29</v>
      </c>
      <c r="B34" s="5">
        <f>6</f>
        <v>6</v>
      </c>
      <c r="C34" s="5">
        <f>100</f>
        <v>100</v>
      </c>
      <c r="D34" s="5">
        <f t="shared" si="1"/>
        <v>-94</v>
      </c>
    </row>
    <row r="35" spans="1:4" x14ac:dyDescent="0.3">
      <c r="A35" s="3" t="s">
        <v>30</v>
      </c>
      <c r="B35" s="4"/>
      <c r="C35" s="5">
        <f>300</f>
        <v>300</v>
      </c>
      <c r="D35" s="5">
        <f t="shared" si="1"/>
        <v>-300</v>
      </c>
    </row>
    <row r="36" spans="1:4" x14ac:dyDescent="0.3">
      <c r="A36" s="3" t="s">
        <v>31</v>
      </c>
      <c r="B36" s="5">
        <f>179.2</f>
        <v>179.2</v>
      </c>
      <c r="C36" s="5">
        <f>500</f>
        <v>500</v>
      </c>
      <c r="D36" s="5">
        <f t="shared" si="1"/>
        <v>-320.8</v>
      </c>
    </row>
    <row r="37" spans="1:4" x14ac:dyDescent="0.3">
      <c r="A37" s="3" t="s">
        <v>32</v>
      </c>
      <c r="B37" s="4"/>
      <c r="C37" s="5">
        <f>300</f>
        <v>300</v>
      </c>
      <c r="D37" s="5">
        <f t="shared" si="1"/>
        <v>-300</v>
      </c>
    </row>
    <row r="38" spans="1:4" x14ac:dyDescent="0.3">
      <c r="A38" s="3" t="s">
        <v>33</v>
      </c>
      <c r="B38" s="5">
        <f>6</f>
        <v>6</v>
      </c>
      <c r="C38" s="4"/>
      <c r="D38" s="5">
        <f t="shared" si="1"/>
        <v>6</v>
      </c>
    </row>
    <row r="39" spans="1:4" x14ac:dyDescent="0.3">
      <c r="A39" s="3" t="s">
        <v>34</v>
      </c>
      <c r="B39" s="5">
        <f>170.15</f>
        <v>170.15</v>
      </c>
      <c r="C39" s="5">
        <f>200</f>
        <v>200</v>
      </c>
      <c r="D39" s="5">
        <f t="shared" si="1"/>
        <v>-29.849999999999994</v>
      </c>
    </row>
    <row r="40" spans="1:4" x14ac:dyDescent="0.3">
      <c r="A40" s="3" t="s">
        <v>35</v>
      </c>
      <c r="B40" s="5">
        <f>114.14</f>
        <v>114.14</v>
      </c>
      <c r="C40" s="5">
        <f>1000</f>
        <v>1000</v>
      </c>
      <c r="D40" s="5">
        <f t="shared" si="1"/>
        <v>-885.86</v>
      </c>
    </row>
    <row r="41" spans="1:4" x14ac:dyDescent="0.3">
      <c r="A41" s="3" t="s">
        <v>36</v>
      </c>
      <c r="B41" s="4"/>
      <c r="C41" s="5">
        <f>1500</f>
        <v>1500</v>
      </c>
      <c r="D41" s="5">
        <f t="shared" si="1"/>
        <v>-1500</v>
      </c>
    </row>
    <row r="42" spans="1:4" x14ac:dyDescent="0.3">
      <c r="A42" s="3" t="s">
        <v>37</v>
      </c>
      <c r="B42" s="4"/>
      <c r="C42" s="5">
        <f>3350</f>
        <v>3350</v>
      </c>
      <c r="D42" s="5">
        <f t="shared" si="1"/>
        <v>-3350</v>
      </c>
    </row>
    <row r="43" spans="1:4" x14ac:dyDescent="0.3">
      <c r="A43" s="3" t="s">
        <v>38</v>
      </c>
      <c r="B43" s="5">
        <f>12</f>
        <v>12</v>
      </c>
      <c r="C43" s="5">
        <f>200</f>
        <v>200</v>
      </c>
      <c r="D43" s="5">
        <f t="shared" si="1"/>
        <v>-188</v>
      </c>
    </row>
    <row r="44" spans="1:4" x14ac:dyDescent="0.3">
      <c r="A44" s="3" t="s">
        <v>39</v>
      </c>
      <c r="B44" s="4"/>
      <c r="C44" s="5">
        <f>1300</f>
        <v>1300</v>
      </c>
      <c r="D44" s="5">
        <f t="shared" si="1"/>
        <v>-1300</v>
      </c>
    </row>
    <row r="45" spans="1:4" x14ac:dyDescent="0.3">
      <c r="A45" s="3" t="s">
        <v>40</v>
      </c>
      <c r="B45" s="5">
        <f>2074.92</f>
        <v>2074.92</v>
      </c>
      <c r="C45" s="5">
        <f>19030</f>
        <v>19030</v>
      </c>
      <c r="D45" s="5">
        <f t="shared" si="1"/>
        <v>-16955.080000000002</v>
      </c>
    </row>
    <row r="46" spans="1:4" x14ac:dyDescent="0.3">
      <c r="A46" s="3" t="s">
        <v>41</v>
      </c>
      <c r="B46" s="5">
        <f>-630</f>
        <v>-630</v>
      </c>
      <c r="C46" s="5">
        <f>4185</f>
        <v>4185</v>
      </c>
      <c r="D46" s="5">
        <f t="shared" si="1"/>
        <v>-4815</v>
      </c>
    </row>
    <row r="47" spans="1:4" x14ac:dyDescent="0.3">
      <c r="A47" s="3" t="s">
        <v>42</v>
      </c>
      <c r="B47" s="5">
        <f>383.23</f>
        <v>383.23</v>
      </c>
      <c r="C47" s="5">
        <f>1000</f>
        <v>1000</v>
      </c>
      <c r="D47" s="5">
        <f t="shared" si="1"/>
        <v>-616.77</v>
      </c>
    </row>
    <row r="48" spans="1:4" x14ac:dyDescent="0.3">
      <c r="A48" s="3" t="s">
        <v>43</v>
      </c>
      <c r="B48" s="5">
        <f>280.26</f>
        <v>280.26</v>
      </c>
      <c r="C48" s="5">
        <f>18300</f>
        <v>18300</v>
      </c>
      <c r="D48" s="5">
        <f t="shared" si="1"/>
        <v>-18019.740000000002</v>
      </c>
    </row>
    <row r="49" spans="1:4" x14ac:dyDescent="0.3">
      <c r="A49" s="3" t="s">
        <v>44</v>
      </c>
      <c r="B49" s="5">
        <f>6</f>
        <v>6</v>
      </c>
      <c r="C49" s="5">
        <f>600</f>
        <v>600</v>
      </c>
      <c r="D49" s="5">
        <f t="shared" si="1"/>
        <v>-594</v>
      </c>
    </row>
    <row r="50" spans="1:4" x14ac:dyDescent="0.3">
      <c r="A50" s="3" t="s">
        <v>45</v>
      </c>
      <c r="B50" s="5">
        <f>2848</f>
        <v>2848</v>
      </c>
      <c r="C50" s="5">
        <f>27100</f>
        <v>27100</v>
      </c>
      <c r="D50" s="5">
        <f t="shared" si="1"/>
        <v>-24252</v>
      </c>
    </row>
    <row r="51" spans="1:4" x14ac:dyDescent="0.3">
      <c r="A51" s="3" t="s">
        <v>46</v>
      </c>
      <c r="B51" s="5">
        <f>417.3</f>
        <v>417.3</v>
      </c>
      <c r="C51" s="5">
        <f>3600</f>
        <v>3600</v>
      </c>
      <c r="D51" s="5">
        <f t="shared" si="1"/>
        <v>-3182.7</v>
      </c>
    </row>
    <row r="52" spans="1:4" x14ac:dyDescent="0.3">
      <c r="A52" s="3" t="s">
        <v>47</v>
      </c>
      <c r="B52" s="5">
        <f>162.79</f>
        <v>162.79</v>
      </c>
      <c r="C52" s="5">
        <f>500</f>
        <v>500</v>
      </c>
      <c r="D52" s="5">
        <f t="shared" si="1"/>
        <v>-337.21000000000004</v>
      </c>
    </row>
    <row r="53" spans="1:4" x14ac:dyDescent="0.3">
      <c r="A53" s="3" t="s">
        <v>48</v>
      </c>
      <c r="B53" s="5">
        <f>75</f>
        <v>75</v>
      </c>
      <c r="C53" s="5">
        <f>100</f>
        <v>100</v>
      </c>
      <c r="D53" s="5">
        <f t="shared" si="1"/>
        <v>-25</v>
      </c>
    </row>
    <row r="54" spans="1:4" x14ac:dyDescent="0.3">
      <c r="A54" s="3" t="s">
        <v>49</v>
      </c>
      <c r="B54" s="5">
        <f>27983.08</f>
        <v>27983.08</v>
      </c>
      <c r="C54" s="5">
        <f>900</f>
        <v>900</v>
      </c>
      <c r="D54" s="5">
        <f t="shared" si="1"/>
        <v>27083.08</v>
      </c>
    </row>
    <row r="55" spans="1:4" x14ac:dyDescent="0.3">
      <c r="A55" s="3" t="s">
        <v>50</v>
      </c>
      <c r="B55" s="5">
        <f>6570.8</f>
        <v>6570.8</v>
      </c>
      <c r="C55" s="5">
        <f>4000</f>
        <v>4000</v>
      </c>
      <c r="D55" s="5">
        <f t="shared" si="1"/>
        <v>2570.8000000000002</v>
      </c>
    </row>
    <row r="56" spans="1:4" x14ac:dyDescent="0.3">
      <c r="A56" s="3" t="s">
        <v>51</v>
      </c>
      <c r="B56" s="5">
        <f>2376</f>
        <v>2376</v>
      </c>
      <c r="C56" s="5">
        <f>2500</f>
        <v>2500</v>
      </c>
      <c r="D56" s="5">
        <f t="shared" si="1"/>
        <v>-124</v>
      </c>
    </row>
    <row r="57" spans="1:4" x14ac:dyDescent="0.3">
      <c r="A57" s="3" t="s">
        <v>52</v>
      </c>
      <c r="B57" s="5">
        <f>4465.73</f>
        <v>4465.7299999999996</v>
      </c>
      <c r="C57" s="5">
        <f>3500</f>
        <v>3500</v>
      </c>
      <c r="D57" s="5">
        <f t="shared" si="1"/>
        <v>965.72999999999956</v>
      </c>
    </row>
    <row r="58" spans="1:4" x14ac:dyDescent="0.3">
      <c r="A58" s="3" t="s">
        <v>53</v>
      </c>
      <c r="B58" s="5">
        <f>1342.53</f>
        <v>1342.53</v>
      </c>
      <c r="C58" s="5">
        <f>300</f>
        <v>300</v>
      </c>
      <c r="D58" s="5">
        <f t="shared" si="1"/>
        <v>1042.53</v>
      </c>
    </row>
    <row r="59" spans="1:4" x14ac:dyDescent="0.3">
      <c r="A59" s="3" t="s">
        <v>54</v>
      </c>
      <c r="B59" s="5">
        <f>122.75</f>
        <v>122.75</v>
      </c>
      <c r="C59" s="4"/>
      <c r="D59" s="5">
        <f t="shared" si="1"/>
        <v>122.75</v>
      </c>
    </row>
    <row r="60" spans="1:4" x14ac:dyDescent="0.3">
      <c r="A60" s="3" t="s">
        <v>55</v>
      </c>
      <c r="B60" s="5">
        <f>1063.24</f>
        <v>1063.24</v>
      </c>
      <c r="C60" s="5">
        <f>2500</f>
        <v>2500</v>
      </c>
      <c r="D60" s="5">
        <f t="shared" si="1"/>
        <v>-1436.76</v>
      </c>
    </row>
    <row r="61" spans="1:4" x14ac:dyDescent="0.3">
      <c r="A61" s="3" t="s">
        <v>56</v>
      </c>
      <c r="B61" s="5">
        <f>441.72</f>
        <v>441.72</v>
      </c>
      <c r="C61" s="4"/>
      <c r="D61" s="5">
        <f t="shared" si="1"/>
        <v>441.72</v>
      </c>
    </row>
    <row r="62" spans="1:4" x14ac:dyDescent="0.3">
      <c r="A62" s="3" t="s">
        <v>57</v>
      </c>
      <c r="B62" s="6">
        <f>(((((((((((((((((((((((((((((((((((((((((((B18)+(B19))+(B20))+(B21))+(B22))+(B23))+(B24))+(B25))+(B26))+(B27))+(B28))+(B29))+(B30))+(B31))+(B32))+(B33))+(B34))+(B35))+(B36))+(B37))+(B38))+(B39))+(B40))+(B41))+(B42))+(B43))+(B44))+(B45))+(B46))+(B47))+(B48))+(B49))+(B50))+(B51))+(B52))+(B53))+(B54))+(B55))+(B56))+(B57))+(B58))+(B59))+(B60))+(B61)</f>
        <v>313413.71000000002</v>
      </c>
      <c r="C62" s="6">
        <f>(((((((((((((((((((((((((((((((((((((((((((C18)+(C19))+(C20))+(C21))+(C22))+(C23))+(C24))+(C25))+(C26))+(C27))+(C28))+(C29))+(C30))+(C31))+(C32))+(C33))+(C34))+(C35))+(C36))+(C37))+(C38))+(C39))+(C40))+(C41))+(C42))+(C43))+(C44))+(C45))+(C46))+(C47))+(C48))+(C49))+(C50))+(C51))+(C52))+(C53))+(C54))+(C55))+(C56))+(C57))+(C58))+(C59))+(C60))+(C61)</f>
        <v>469644</v>
      </c>
      <c r="D62" s="6">
        <f t="shared" si="1"/>
        <v>-156230.28999999998</v>
      </c>
    </row>
    <row r="63" spans="1:4" x14ac:dyDescent="0.3">
      <c r="A63" s="3" t="s">
        <v>58</v>
      </c>
      <c r="B63" s="6">
        <f>(B16)-(B62)</f>
        <v>67604.599999999977</v>
      </c>
      <c r="C63" s="6">
        <f>(C16)-(C62)</f>
        <v>-10965</v>
      </c>
      <c r="D63" s="6">
        <f t="shared" si="1"/>
        <v>78569.599999999977</v>
      </c>
    </row>
    <row r="64" spans="1:4" x14ac:dyDescent="0.3">
      <c r="A64" s="3" t="s">
        <v>59</v>
      </c>
      <c r="B64" s="4"/>
      <c r="C64" s="4"/>
      <c r="D64" s="4"/>
    </row>
    <row r="65" spans="1:4" x14ac:dyDescent="0.3">
      <c r="A65" s="3" t="s">
        <v>60</v>
      </c>
      <c r="B65" s="4"/>
      <c r="C65" s="4"/>
      <c r="D65" s="5">
        <f t="shared" ref="D65:D85" si="2">(B65)-(C65)</f>
        <v>0</v>
      </c>
    </row>
    <row r="66" spans="1:4" x14ac:dyDescent="0.3">
      <c r="A66" s="3" t="s">
        <v>61</v>
      </c>
      <c r="B66" s="4"/>
      <c r="C66" s="4"/>
      <c r="D66" s="5">
        <f t="shared" si="2"/>
        <v>0</v>
      </c>
    </row>
    <row r="67" spans="1:4" x14ac:dyDescent="0.3">
      <c r="A67" s="3" t="s">
        <v>62</v>
      </c>
      <c r="B67" s="5">
        <f>18300</f>
        <v>18300</v>
      </c>
      <c r="C67" s="5">
        <f>124200</f>
        <v>124200</v>
      </c>
      <c r="D67" s="5">
        <f t="shared" si="2"/>
        <v>-105900</v>
      </c>
    </row>
    <row r="68" spans="1:4" x14ac:dyDescent="0.3">
      <c r="A68" s="3" t="s">
        <v>63</v>
      </c>
      <c r="B68" s="6">
        <f>(B66)+(B67)</f>
        <v>18300</v>
      </c>
      <c r="C68" s="6">
        <f>(C66)+(C67)</f>
        <v>124200</v>
      </c>
      <c r="D68" s="6">
        <f t="shared" si="2"/>
        <v>-105900</v>
      </c>
    </row>
    <row r="69" spans="1:4" x14ac:dyDescent="0.3">
      <c r="A69" s="3" t="s">
        <v>64</v>
      </c>
      <c r="B69" s="4"/>
      <c r="C69" s="4"/>
      <c r="D69" s="5">
        <f t="shared" si="2"/>
        <v>0</v>
      </c>
    </row>
    <row r="70" spans="1:4" x14ac:dyDescent="0.3">
      <c r="A70" s="3" t="s">
        <v>65</v>
      </c>
      <c r="B70" s="5">
        <f>16800</f>
        <v>16800</v>
      </c>
      <c r="C70" s="5">
        <f>28800</f>
        <v>28800</v>
      </c>
      <c r="D70" s="5">
        <f t="shared" si="2"/>
        <v>-12000</v>
      </c>
    </row>
    <row r="71" spans="1:4" x14ac:dyDescent="0.3">
      <c r="A71" s="3" t="s">
        <v>66</v>
      </c>
      <c r="B71" s="6">
        <f>(B69)+(B70)</f>
        <v>16800</v>
      </c>
      <c r="C71" s="6">
        <f>(C69)+(C70)</f>
        <v>28800</v>
      </c>
      <c r="D71" s="6">
        <f t="shared" si="2"/>
        <v>-12000</v>
      </c>
    </row>
    <row r="72" spans="1:4" x14ac:dyDescent="0.3">
      <c r="A72" s="3" t="s">
        <v>67</v>
      </c>
      <c r="B72" s="4"/>
      <c r="C72" s="4"/>
      <c r="D72" s="5">
        <f t="shared" si="2"/>
        <v>0</v>
      </c>
    </row>
    <row r="73" spans="1:4" x14ac:dyDescent="0.3">
      <c r="A73" s="3" t="s">
        <v>68</v>
      </c>
      <c r="B73" s="4"/>
      <c r="C73" s="5">
        <f>2500</f>
        <v>2500</v>
      </c>
      <c r="D73" s="5">
        <f t="shared" si="2"/>
        <v>-2500</v>
      </c>
    </row>
    <row r="74" spans="1:4" x14ac:dyDescent="0.3">
      <c r="A74" s="3" t="s">
        <v>69</v>
      </c>
      <c r="B74" s="4"/>
      <c r="C74" s="5">
        <f>1000</f>
        <v>1000</v>
      </c>
      <c r="D74" s="5">
        <f t="shared" si="2"/>
        <v>-1000</v>
      </c>
    </row>
    <row r="75" spans="1:4" x14ac:dyDescent="0.3">
      <c r="A75" s="3" t="s">
        <v>70</v>
      </c>
      <c r="B75" s="5">
        <f>620</f>
        <v>620</v>
      </c>
      <c r="C75" s="5">
        <f>3500</f>
        <v>3500</v>
      </c>
      <c r="D75" s="5">
        <f t="shared" si="2"/>
        <v>-2880</v>
      </c>
    </row>
    <row r="76" spans="1:4" x14ac:dyDescent="0.3">
      <c r="A76" s="3" t="s">
        <v>71</v>
      </c>
      <c r="B76" s="4"/>
      <c r="C76" s="5">
        <f>3000</f>
        <v>3000</v>
      </c>
      <c r="D76" s="5">
        <f t="shared" si="2"/>
        <v>-3000</v>
      </c>
    </row>
    <row r="77" spans="1:4" x14ac:dyDescent="0.3">
      <c r="A77" s="3" t="s">
        <v>72</v>
      </c>
      <c r="B77" s="4"/>
      <c r="C77" s="5">
        <f>7000</f>
        <v>7000</v>
      </c>
      <c r="D77" s="5">
        <f t="shared" si="2"/>
        <v>-7000</v>
      </c>
    </row>
    <row r="78" spans="1:4" x14ac:dyDescent="0.3">
      <c r="A78" s="3" t="s">
        <v>73</v>
      </c>
      <c r="B78" s="6">
        <f>(((((B72)+(B73))+(B74))+(B75))+(B76))+(B77)</f>
        <v>620</v>
      </c>
      <c r="C78" s="6">
        <f>(((((C72)+(C73))+(C74))+(C75))+(C76))+(C77)</f>
        <v>17000</v>
      </c>
      <c r="D78" s="6">
        <f t="shared" si="2"/>
        <v>-16380</v>
      </c>
    </row>
    <row r="79" spans="1:4" x14ac:dyDescent="0.3">
      <c r="A79" s="3" t="s">
        <v>74</v>
      </c>
      <c r="B79" s="4"/>
      <c r="C79" s="4"/>
      <c r="D79" s="5">
        <f t="shared" si="2"/>
        <v>0</v>
      </c>
    </row>
    <row r="80" spans="1:4" x14ac:dyDescent="0.3">
      <c r="A80" s="3" t="s">
        <v>75</v>
      </c>
      <c r="B80" s="4"/>
      <c r="C80" s="5">
        <f>3200</f>
        <v>3200</v>
      </c>
      <c r="D80" s="5">
        <f t="shared" si="2"/>
        <v>-3200</v>
      </c>
    </row>
    <row r="81" spans="1:4" x14ac:dyDescent="0.3">
      <c r="A81" s="3" t="s">
        <v>76</v>
      </c>
      <c r="B81" s="4"/>
      <c r="C81" s="5">
        <f>6000</f>
        <v>6000</v>
      </c>
      <c r="D81" s="5">
        <f t="shared" si="2"/>
        <v>-6000</v>
      </c>
    </row>
    <row r="82" spans="1:4" x14ac:dyDescent="0.3">
      <c r="A82" s="3" t="s">
        <v>77</v>
      </c>
      <c r="B82" s="5">
        <f>-14497.99</f>
        <v>-14497.99</v>
      </c>
      <c r="C82" s="5">
        <f>47200</f>
        <v>47200</v>
      </c>
      <c r="D82" s="5">
        <f t="shared" si="2"/>
        <v>-61697.99</v>
      </c>
    </row>
    <row r="83" spans="1:4" x14ac:dyDescent="0.3">
      <c r="A83" s="3" t="s">
        <v>78</v>
      </c>
      <c r="B83" s="6">
        <f>(((B79)+(B80))+(B81))+(B82)</f>
        <v>-14497.99</v>
      </c>
      <c r="C83" s="6">
        <f>(((C79)+(C80))+(C81))+(C82)</f>
        <v>56400</v>
      </c>
      <c r="D83" s="6">
        <f t="shared" si="2"/>
        <v>-70897.990000000005</v>
      </c>
    </row>
    <row r="84" spans="1:4" x14ac:dyDescent="0.3">
      <c r="A84" s="3" t="s">
        <v>79</v>
      </c>
      <c r="B84" s="6">
        <f>((((B65)+(B68))+(B71))+(B78))+(B83)</f>
        <v>21222.010000000002</v>
      </c>
      <c r="C84" s="6">
        <f>((((C65)+(C68))+(C71))+(C78))+(C83)</f>
        <v>226400</v>
      </c>
      <c r="D84" s="6">
        <f t="shared" si="2"/>
        <v>-205177.99</v>
      </c>
    </row>
    <row r="85" spans="1:4" x14ac:dyDescent="0.3">
      <c r="A85" s="3" t="s">
        <v>80</v>
      </c>
      <c r="B85" s="6">
        <f>B84</f>
        <v>21222.010000000002</v>
      </c>
      <c r="C85" s="6">
        <f>C84</f>
        <v>226400</v>
      </c>
      <c r="D85" s="6">
        <f t="shared" si="2"/>
        <v>-205177.99</v>
      </c>
    </row>
    <row r="86" spans="1:4" x14ac:dyDescent="0.3">
      <c r="A86" s="3" t="s">
        <v>81</v>
      </c>
      <c r="B86" s="4"/>
      <c r="C86" s="4"/>
      <c r="D86" s="4"/>
    </row>
    <row r="87" spans="1:4" x14ac:dyDescent="0.3">
      <c r="A87" s="3" t="s">
        <v>82</v>
      </c>
      <c r="B87" s="4"/>
      <c r="C87" s="4"/>
      <c r="D87" s="5">
        <f t="shared" ref="D87:D118" si="3">(B87)-(C87)</f>
        <v>0</v>
      </c>
    </row>
    <row r="88" spans="1:4" x14ac:dyDescent="0.3">
      <c r="A88" s="3" t="s">
        <v>61</v>
      </c>
      <c r="B88" s="4"/>
      <c r="C88" s="4"/>
      <c r="D88" s="5">
        <f t="shared" si="3"/>
        <v>0</v>
      </c>
    </row>
    <row r="89" spans="1:4" x14ac:dyDescent="0.3">
      <c r="A89" s="3" t="s">
        <v>83</v>
      </c>
      <c r="B89" s="4"/>
      <c r="C89" s="5">
        <f>50</f>
        <v>50</v>
      </c>
      <c r="D89" s="5">
        <f t="shared" si="3"/>
        <v>-50</v>
      </c>
    </row>
    <row r="90" spans="1:4" x14ac:dyDescent="0.3">
      <c r="A90" s="3" t="s">
        <v>84</v>
      </c>
      <c r="B90" s="4"/>
      <c r="C90" s="5">
        <f>260</f>
        <v>260</v>
      </c>
      <c r="D90" s="5">
        <f t="shared" si="3"/>
        <v>-260</v>
      </c>
    </row>
    <row r="91" spans="1:4" x14ac:dyDescent="0.3">
      <c r="A91" s="3" t="s">
        <v>85</v>
      </c>
      <c r="B91" s="5">
        <f>263.87</f>
        <v>263.87</v>
      </c>
      <c r="C91" s="4"/>
      <c r="D91" s="5">
        <f t="shared" si="3"/>
        <v>263.87</v>
      </c>
    </row>
    <row r="92" spans="1:4" x14ac:dyDescent="0.3">
      <c r="A92" s="3" t="s">
        <v>86</v>
      </c>
      <c r="B92" s="4"/>
      <c r="C92" s="5">
        <f>925</f>
        <v>925</v>
      </c>
      <c r="D92" s="5">
        <f t="shared" si="3"/>
        <v>-925</v>
      </c>
    </row>
    <row r="93" spans="1:4" x14ac:dyDescent="0.3">
      <c r="A93" s="3" t="s">
        <v>87</v>
      </c>
      <c r="B93" s="4"/>
      <c r="C93" s="5">
        <f>150</f>
        <v>150</v>
      </c>
      <c r="D93" s="5">
        <f t="shared" si="3"/>
        <v>-150</v>
      </c>
    </row>
    <row r="94" spans="1:4" x14ac:dyDescent="0.3">
      <c r="A94" s="3" t="s">
        <v>88</v>
      </c>
      <c r="B94" s="4"/>
      <c r="C94" s="5">
        <f>450</f>
        <v>450</v>
      </c>
      <c r="D94" s="5">
        <f t="shared" si="3"/>
        <v>-450</v>
      </c>
    </row>
    <row r="95" spans="1:4" x14ac:dyDescent="0.3">
      <c r="A95" s="3" t="s">
        <v>89</v>
      </c>
      <c r="B95" s="4"/>
      <c r="C95" s="5">
        <f>17000</f>
        <v>17000</v>
      </c>
      <c r="D95" s="5">
        <f t="shared" si="3"/>
        <v>-17000</v>
      </c>
    </row>
    <row r="96" spans="1:4" x14ac:dyDescent="0.3">
      <c r="A96" s="3" t="s">
        <v>90</v>
      </c>
      <c r="B96" s="5">
        <f>1089.5</f>
        <v>1089.5</v>
      </c>
      <c r="C96" s="5">
        <f>100</f>
        <v>100</v>
      </c>
      <c r="D96" s="5">
        <f t="shared" si="3"/>
        <v>989.5</v>
      </c>
    </row>
    <row r="97" spans="1:4" x14ac:dyDescent="0.3">
      <c r="A97" s="3" t="s">
        <v>91</v>
      </c>
      <c r="B97" s="4"/>
      <c r="C97" s="5">
        <f>690</f>
        <v>690</v>
      </c>
      <c r="D97" s="5">
        <f t="shared" si="3"/>
        <v>-690</v>
      </c>
    </row>
    <row r="98" spans="1:4" x14ac:dyDescent="0.3">
      <c r="A98" s="3" t="s">
        <v>92</v>
      </c>
      <c r="B98" s="4"/>
      <c r="C98" s="5">
        <f>900</f>
        <v>900</v>
      </c>
      <c r="D98" s="5">
        <f t="shared" si="3"/>
        <v>-900</v>
      </c>
    </row>
    <row r="99" spans="1:4" x14ac:dyDescent="0.3">
      <c r="A99" s="3" t="s">
        <v>93</v>
      </c>
      <c r="B99" s="4"/>
      <c r="C99" s="5">
        <f>55</f>
        <v>55</v>
      </c>
      <c r="D99" s="5">
        <f t="shared" si="3"/>
        <v>-55</v>
      </c>
    </row>
    <row r="100" spans="1:4" x14ac:dyDescent="0.3">
      <c r="A100" s="3" t="s">
        <v>94</v>
      </c>
      <c r="B100" s="4"/>
      <c r="C100" s="5">
        <f>200</f>
        <v>200</v>
      </c>
      <c r="D100" s="5">
        <f t="shared" si="3"/>
        <v>-200</v>
      </c>
    </row>
    <row r="101" spans="1:4" x14ac:dyDescent="0.3">
      <c r="A101" s="3" t="s">
        <v>95</v>
      </c>
      <c r="B101" s="4"/>
      <c r="C101" s="5">
        <f>700</f>
        <v>700</v>
      </c>
      <c r="D101" s="5">
        <f t="shared" si="3"/>
        <v>-700</v>
      </c>
    </row>
    <row r="102" spans="1:4" x14ac:dyDescent="0.3">
      <c r="A102" s="3" t="s">
        <v>96</v>
      </c>
      <c r="B102" s="4"/>
      <c r="C102" s="5">
        <f>970</f>
        <v>970</v>
      </c>
      <c r="D102" s="5">
        <f t="shared" si="3"/>
        <v>-970</v>
      </c>
    </row>
    <row r="103" spans="1:4" x14ac:dyDescent="0.3">
      <c r="A103" s="3" t="s">
        <v>97</v>
      </c>
      <c r="B103" s="5">
        <f>4300</f>
        <v>4300</v>
      </c>
      <c r="C103" s="5">
        <f>4400</f>
        <v>4400</v>
      </c>
      <c r="D103" s="5">
        <f t="shared" si="3"/>
        <v>-100</v>
      </c>
    </row>
    <row r="104" spans="1:4" x14ac:dyDescent="0.3">
      <c r="A104" s="3" t="s">
        <v>98</v>
      </c>
      <c r="B104" s="5">
        <f>6065.98</f>
        <v>6065.98</v>
      </c>
      <c r="C104" s="5">
        <f>5200</f>
        <v>5200</v>
      </c>
      <c r="D104" s="5">
        <f t="shared" si="3"/>
        <v>865.97999999999956</v>
      </c>
    </row>
    <row r="105" spans="1:4" x14ac:dyDescent="0.3">
      <c r="A105" s="3" t="s">
        <v>99</v>
      </c>
      <c r="B105" s="5">
        <f>11344</f>
        <v>11344</v>
      </c>
      <c r="C105" s="5">
        <f>24000</f>
        <v>24000</v>
      </c>
      <c r="D105" s="5">
        <f t="shared" si="3"/>
        <v>-12656</v>
      </c>
    </row>
    <row r="106" spans="1:4" x14ac:dyDescent="0.3">
      <c r="A106" s="3" t="s">
        <v>100</v>
      </c>
      <c r="B106" s="4"/>
      <c r="C106" s="5">
        <f>68000</f>
        <v>68000</v>
      </c>
      <c r="D106" s="5">
        <f t="shared" si="3"/>
        <v>-68000</v>
      </c>
    </row>
    <row r="107" spans="1:4" x14ac:dyDescent="0.3">
      <c r="A107" s="3" t="s">
        <v>101</v>
      </c>
      <c r="B107" s="4"/>
      <c r="C107" s="5">
        <f>150</f>
        <v>150</v>
      </c>
      <c r="D107" s="5">
        <f t="shared" si="3"/>
        <v>-150</v>
      </c>
    </row>
    <row r="108" spans="1:4" x14ac:dyDescent="0.3">
      <c r="A108" s="3" t="s">
        <v>63</v>
      </c>
      <c r="B108" s="6">
        <f>(((((((((((((((((((B88)+(B89))+(B90))+(B91))+(B92))+(B93))+(B94))+(B95))+(B96))+(B97))+(B98))+(B99))+(B100))+(B101))+(B102))+(B103))+(B104))+(B105))+(B106))+(B107)</f>
        <v>23063.35</v>
      </c>
      <c r="C108" s="6">
        <f>(((((((((((((((((((C88)+(C89))+(C90))+(C91))+(C92))+(C93))+(C94))+(C95))+(C96))+(C97))+(C98))+(C99))+(C100))+(C101))+(C102))+(C103))+(C104))+(C105))+(C106))+(C107)</f>
        <v>124200</v>
      </c>
      <c r="D108" s="6">
        <f t="shared" si="3"/>
        <v>-101136.65</v>
      </c>
    </row>
    <row r="109" spans="1:4" x14ac:dyDescent="0.3">
      <c r="A109" s="3" t="s">
        <v>64</v>
      </c>
      <c r="B109" s="4"/>
      <c r="C109" s="4"/>
      <c r="D109" s="5">
        <f t="shared" si="3"/>
        <v>0</v>
      </c>
    </row>
    <row r="110" spans="1:4" x14ac:dyDescent="0.3">
      <c r="A110" s="3" t="s">
        <v>102</v>
      </c>
      <c r="B110" s="5">
        <f>680</f>
        <v>680</v>
      </c>
      <c r="C110" s="5">
        <f>720</f>
        <v>720</v>
      </c>
      <c r="D110" s="5">
        <f t="shared" si="3"/>
        <v>-40</v>
      </c>
    </row>
    <row r="111" spans="1:4" x14ac:dyDescent="0.3">
      <c r="A111" s="3" t="s">
        <v>103</v>
      </c>
      <c r="B111" s="5">
        <f>108</f>
        <v>108</v>
      </c>
      <c r="C111" s="5">
        <f>600</f>
        <v>600</v>
      </c>
      <c r="D111" s="5">
        <f t="shared" si="3"/>
        <v>-492</v>
      </c>
    </row>
    <row r="112" spans="1:4" x14ac:dyDescent="0.3">
      <c r="A112" s="3" t="s">
        <v>104</v>
      </c>
      <c r="B112" s="5">
        <f>737.04</f>
        <v>737.04</v>
      </c>
      <c r="C112" s="5">
        <f>1400</f>
        <v>1400</v>
      </c>
      <c r="D112" s="5">
        <f t="shared" si="3"/>
        <v>-662.96</v>
      </c>
    </row>
    <row r="113" spans="1:4" x14ac:dyDescent="0.3">
      <c r="A113" s="3" t="s">
        <v>105</v>
      </c>
      <c r="B113" s="5">
        <f>1465.05</f>
        <v>1465.05</v>
      </c>
      <c r="C113" s="5">
        <f>446</f>
        <v>446</v>
      </c>
      <c r="D113" s="5">
        <f t="shared" si="3"/>
        <v>1019.05</v>
      </c>
    </row>
    <row r="114" spans="1:4" x14ac:dyDescent="0.3">
      <c r="A114" s="3" t="s">
        <v>106</v>
      </c>
      <c r="B114" s="5">
        <f>300</f>
        <v>300</v>
      </c>
      <c r="C114" s="5">
        <f>350</f>
        <v>350</v>
      </c>
      <c r="D114" s="5">
        <f t="shared" si="3"/>
        <v>-50</v>
      </c>
    </row>
    <row r="115" spans="1:4" x14ac:dyDescent="0.3">
      <c r="A115" s="3" t="s">
        <v>107</v>
      </c>
      <c r="B115" s="5">
        <f>14085.99</f>
        <v>14085.99</v>
      </c>
      <c r="C115" s="5">
        <f>18140</f>
        <v>18140</v>
      </c>
      <c r="D115" s="5">
        <f t="shared" si="3"/>
        <v>-4054.01</v>
      </c>
    </row>
    <row r="116" spans="1:4" x14ac:dyDescent="0.3">
      <c r="A116" s="3" t="s">
        <v>108</v>
      </c>
      <c r="B116" s="5">
        <f>2500</f>
        <v>2500</v>
      </c>
      <c r="C116" s="5">
        <f>5000</f>
        <v>5000</v>
      </c>
      <c r="D116" s="5">
        <f t="shared" si="3"/>
        <v>-2500</v>
      </c>
    </row>
    <row r="117" spans="1:4" x14ac:dyDescent="0.3">
      <c r="A117" s="3" t="s">
        <v>109</v>
      </c>
      <c r="B117" s="5">
        <f>2200</f>
        <v>2200</v>
      </c>
      <c r="C117" s="4"/>
      <c r="D117" s="5">
        <f t="shared" si="3"/>
        <v>2200</v>
      </c>
    </row>
    <row r="118" spans="1:4" x14ac:dyDescent="0.3">
      <c r="A118" s="3" t="s">
        <v>110</v>
      </c>
      <c r="B118" s="5">
        <f>22.28</f>
        <v>22.28</v>
      </c>
      <c r="C118" s="5">
        <f>2060</f>
        <v>2060</v>
      </c>
      <c r="D118" s="5">
        <f t="shared" si="3"/>
        <v>-2037.72</v>
      </c>
    </row>
    <row r="119" spans="1:4" x14ac:dyDescent="0.3">
      <c r="A119" s="3" t="s">
        <v>111</v>
      </c>
      <c r="B119" s="4"/>
      <c r="C119" s="5">
        <f>84</f>
        <v>84</v>
      </c>
      <c r="D119" s="5">
        <f t="shared" ref="D119:D150" si="4">(B119)-(C119)</f>
        <v>-84</v>
      </c>
    </row>
    <row r="120" spans="1:4" x14ac:dyDescent="0.3">
      <c r="A120" s="3" t="s">
        <v>66</v>
      </c>
      <c r="B120" s="6">
        <f>((((((((((B109)+(B110))+(B111))+(B112))+(B113))+(B114))+(B115))+(B116))+(B117))+(B118))+(B119)</f>
        <v>22098.36</v>
      </c>
      <c r="C120" s="6">
        <f>((((((((((C109)+(C110))+(C111))+(C112))+(C113))+(C114))+(C115))+(C116))+(C117))+(C118))+(C119)</f>
        <v>28800</v>
      </c>
      <c r="D120" s="6">
        <f t="shared" si="4"/>
        <v>-6701.6399999999994</v>
      </c>
    </row>
    <row r="121" spans="1:4" x14ac:dyDescent="0.3">
      <c r="A121" s="3" t="s">
        <v>67</v>
      </c>
      <c r="B121" s="4"/>
      <c r="C121" s="4"/>
      <c r="D121" s="5">
        <f t="shared" si="4"/>
        <v>0</v>
      </c>
    </row>
    <row r="122" spans="1:4" x14ac:dyDescent="0.3">
      <c r="A122" s="3" t="s">
        <v>112</v>
      </c>
      <c r="B122" s="5">
        <f>20.48</f>
        <v>20.48</v>
      </c>
      <c r="C122" s="5">
        <f>11</f>
        <v>11</v>
      </c>
      <c r="D122" s="5">
        <f t="shared" si="4"/>
        <v>9.48</v>
      </c>
    </row>
    <row r="123" spans="1:4" x14ac:dyDescent="0.3">
      <c r="A123" s="3" t="s">
        <v>113</v>
      </c>
      <c r="B123" s="5">
        <f>-84.85</f>
        <v>-84.85</v>
      </c>
      <c r="C123" s="4"/>
      <c r="D123" s="5">
        <f t="shared" si="4"/>
        <v>-84.85</v>
      </c>
    </row>
    <row r="124" spans="1:4" x14ac:dyDescent="0.3">
      <c r="A124" s="3" t="s">
        <v>114</v>
      </c>
      <c r="B124" s="5">
        <f>100</f>
        <v>100</v>
      </c>
      <c r="C124" s="5">
        <f>2404</f>
        <v>2404</v>
      </c>
      <c r="D124" s="5">
        <f t="shared" si="4"/>
        <v>-2304</v>
      </c>
    </row>
    <row r="125" spans="1:4" x14ac:dyDescent="0.3">
      <c r="A125" s="3" t="s">
        <v>115</v>
      </c>
      <c r="B125" s="4"/>
      <c r="C125" s="5">
        <f>4000</f>
        <v>4000</v>
      </c>
      <c r="D125" s="5">
        <f t="shared" si="4"/>
        <v>-4000</v>
      </c>
    </row>
    <row r="126" spans="1:4" x14ac:dyDescent="0.3">
      <c r="A126" s="3" t="s">
        <v>116</v>
      </c>
      <c r="B126" s="4"/>
      <c r="C126" s="5">
        <f>10500</f>
        <v>10500</v>
      </c>
      <c r="D126" s="5">
        <f t="shared" si="4"/>
        <v>-10500</v>
      </c>
    </row>
    <row r="127" spans="1:4" x14ac:dyDescent="0.3">
      <c r="A127" s="3" t="s">
        <v>117</v>
      </c>
      <c r="B127" s="5">
        <f>34.43</f>
        <v>34.43</v>
      </c>
      <c r="C127" s="5">
        <f>85</f>
        <v>85</v>
      </c>
      <c r="D127" s="5">
        <f t="shared" si="4"/>
        <v>-50.57</v>
      </c>
    </row>
    <row r="128" spans="1:4" x14ac:dyDescent="0.3">
      <c r="A128" s="3" t="s">
        <v>73</v>
      </c>
      <c r="B128" s="6">
        <f>((((((B121)+(B122))+(B123))+(B124))+(B125))+(B126))+(B127)</f>
        <v>70.06</v>
      </c>
      <c r="C128" s="6">
        <f>((((((C121)+(C122))+(C123))+(C124))+(C125))+(C126))+(C127)</f>
        <v>17000</v>
      </c>
      <c r="D128" s="6">
        <f t="shared" si="4"/>
        <v>-16929.939999999999</v>
      </c>
    </row>
    <row r="129" spans="1:4" x14ac:dyDescent="0.3">
      <c r="A129" s="3" t="s">
        <v>74</v>
      </c>
      <c r="B129" s="4"/>
      <c r="C129" s="4"/>
      <c r="D129" s="5">
        <f t="shared" si="4"/>
        <v>0</v>
      </c>
    </row>
    <row r="130" spans="1:4" x14ac:dyDescent="0.3">
      <c r="A130" s="3" t="s">
        <v>118</v>
      </c>
      <c r="B130" s="4"/>
      <c r="C130" s="4"/>
      <c r="D130" s="5">
        <f t="shared" si="4"/>
        <v>0</v>
      </c>
    </row>
    <row r="131" spans="1:4" x14ac:dyDescent="0.3">
      <c r="A131" s="3" t="s">
        <v>119</v>
      </c>
      <c r="B131" s="5">
        <f>45.15</f>
        <v>45.15</v>
      </c>
      <c r="C131" s="5">
        <f>200</f>
        <v>200</v>
      </c>
      <c r="D131" s="5">
        <f t="shared" si="4"/>
        <v>-154.85</v>
      </c>
    </row>
    <row r="132" spans="1:4" x14ac:dyDescent="0.3">
      <c r="A132" s="3" t="s">
        <v>120</v>
      </c>
      <c r="B132" s="5">
        <f>100</f>
        <v>100</v>
      </c>
      <c r="C132" s="5">
        <f>1000</f>
        <v>1000</v>
      </c>
      <c r="D132" s="5">
        <f t="shared" si="4"/>
        <v>-900</v>
      </c>
    </row>
    <row r="133" spans="1:4" x14ac:dyDescent="0.3">
      <c r="A133" s="3" t="s">
        <v>121</v>
      </c>
      <c r="B133" s="5">
        <f>170</f>
        <v>170</v>
      </c>
      <c r="C133" s="4"/>
      <c r="D133" s="5">
        <f t="shared" si="4"/>
        <v>170</v>
      </c>
    </row>
    <row r="134" spans="1:4" x14ac:dyDescent="0.3">
      <c r="A134" s="3" t="s">
        <v>122</v>
      </c>
      <c r="B134" s="5">
        <f>0</f>
        <v>0</v>
      </c>
      <c r="C134" s="5">
        <f>1600</f>
        <v>1600</v>
      </c>
      <c r="D134" s="5">
        <f t="shared" si="4"/>
        <v>-1600</v>
      </c>
    </row>
    <row r="135" spans="1:4" x14ac:dyDescent="0.3">
      <c r="A135" s="3" t="s">
        <v>123</v>
      </c>
      <c r="B135" s="4"/>
      <c r="C135" s="5">
        <f>1500</f>
        <v>1500</v>
      </c>
      <c r="D135" s="5">
        <f t="shared" si="4"/>
        <v>-1500</v>
      </c>
    </row>
    <row r="136" spans="1:4" x14ac:dyDescent="0.3">
      <c r="A136" s="3" t="s">
        <v>124</v>
      </c>
      <c r="B136" s="4"/>
      <c r="C136" s="5">
        <f>1000</f>
        <v>1000</v>
      </c>
      <c r="D136" s="5">
        <f t="shared" si="4"/>
        <v>-1000</v>
      </c>
    </row>
    <row r="137" spans="1:4" x14ac:dyDescent="0.3">
      <c r="A137" s="3" t="s">
        <v>125</v>
      </c>
      <c r="B137" s="5">
        <f>537.55</f>
        <v>537.54999999999995</v>
      </c>
      <c r="C137" s="5">
        <f>1800</f>
        <v>1800</v>
      </c>
      <c r="D137" s="5">
        <f t="shared" si="4"/>
        <v>-1262.45</v>
      </c>
    </row>
    <row r="138" spans="1:4" x14ac:dyDescent="0.3">
      <c r="A138" s="3" t="s">
        <v>126</v>
      </c>
      <c r="B138" s="4"/>
      <c r="C138" s="5">
        <f>65</f>
        <v>65</v>
      </c>
      <c r="D138" s="5">
        <f t="shared" si="4"/>
        <v>-65</v>
      </c>
    </row>
    <row r="139" spans="1:4" x14ac:dyDescent="0.3">
      <c r="A139" s="3" t="s">
        <v>127</v>
      </c>
      <c r="B139" s="5">
        <f>100.4</f>
        <v>100.4</v>
      </c>
      <c r="C139" s="5">
        <f>55</f>
        <v>55</v>
      </c>
      <c r="D139" s="5">
        <f t="shared" si="4"/>
        <v>45.400000000000006</v>
      </c>
    </row>
    <row r="140" spans="1:4" x14ac:dyDescent="0.3">
      <c r="A140" s="3" t="s">
        <v>128</v>
      </c>
      <c r="B140" s="4"/>
      <c r="C140" s="5">
        <f>250</f>
        <v>250</v>
      </c>
      <c r="D140" s="5">
        <f t="shared" si="4"/>
        <v>-250</v>
      </c>
    </row>
    <row r="141" spans="1:4" x14ac:dyDescent="0.3">
      <c r="A141" s="3" t="s">
        <v>129</v>
      </c>
      <c r="B141" s="5">
        <f>29.3</f>
        <v>29.3</v>
      </c>
      <c r="C141" s="4"/>
      <c r="D141" s="5">
        <f t="shared" si="4"/>
        <v>29.3</v>
      </c>
    </row>
    <row r="142" spans="1:4" x14ac:dyDescent="0.3">
      <c r="A142" s="3" t="s">
        <v>130</v>
      </c>
      <c r="B142" s="4"/>
      <c r="C142" s="5">
        <f>200</f>
        <v>200</v>
      </c>
      <c r="D142" s="5">
        <f t="shared" si="4"/>
        <v>-200</v>
      </c>
    </row>
    <row r="143" spans="1:4" x14ac:dyDescent="0.3">
      <c r="A143" s="3" t="s">
        <v>131</v>
      </c>
      <c r="B143" s="5">
        <f>200</f>
        <v>200</v>
      </c>
      <c r="C143" s="5">
        <f>375</f>
        <v>375</v>
      </c>
      <c r="D143" s="5">
        <f t="shared" si="4"/>
        <v>-175</v>
      </c>
    </row>
    <row r="144" spans="1:4" x14ac:dyDescent="0.3">
      <c r="A144" s="3" t="s">
        <v>132</v>
      </c>
      <c r="B144" s="6">
        <f>(((((((((((((B130)+(B131))+(B132))+(B133))+(B134))+(B135))+(B136))+(B137))+(B138))+(B139))+(B140))+(B141))+(B142))+(B143)</f>
        <v>1182.3999999999999</v>
      </c>
      <c r="C144" s="6">
        <f>(((((((((((((C130)+(C131))+(C132))+(C133))+(C134))+(C135))+(C136))+(C137))+(C138))+(C139))+(C140))+(C141))+(C142))+(C143)</f>
        <v>8045</v>
      </c>
      <c r="D144" s="6">
        <f t="shared" si="4"/>
        <v>-6862.6</v>
      </c>
    </row>
    <row r="145" spans="1:4" x14ac:dyDescent="0.3">
      <c r="A145" s="3" t="s">
        <v>133</v>
      </c>
      <c r="B145" s="4"/>
      <c r="C145" s="4"/>
      <c r="D145" s="5">
        <f t="shared" si="4"/>
        <v>0</v>
      </c>
    </row>
    <row r="146" spans="1:4" x14ac:dyDescent="0.3">
      <c r="A146" s="3" t="s">
        <v>134</v>
      </c>
      <c r="B146" s="4"/>
      <c r="C146" s="5">
        <f>5700</f>
        <v>5700</v>
      </c>
      <c r="D146" s="5">
        <f t="shared" si="4"/>
        <v>-5700</v>
      </c>
    </row>
    <row r="147" spans="1:4" x14ac:dyDescent="0.3">
      <c r="A147" s="3" t="s">
        <v>135</v>
      </c>
      <c r="B147" s="4"/>
      <c r="C147" s="5">
        <f>300</f>
        <v>300</v>
      </c>
      <c r="D147" s="5">
        <f t="shared" si="4"/>
        <v>-300</v>
      </c>
    </row>
    <row r="148" spans="1:4" x14ac:dyDescent="0.3">
      <c r="A148" s="3" t="s">
        <v>136</v>
      </c>
      <c r="B148" s="4"/>
      <c r="C148" s="5">
        <f>1650</f>
        <v>1650</v>
      </c>
      <c r="D148" s="5">
        <f t="shared" si="4"/>
        <v>-1650</v>
      </c>
    </row>
    <row r="149" spans="1:4" x14ac:dyDescent="0.3">
      <c r="A149" s="3" t="s">
        <v>137</v>
      </c>
      <c r="B149" s="4"/>
      <c r="C149" s="5">
        <f>2200</f>
        <v>2200</v>
      </c>
      <c r="D149" s="5">
        <f t="shared" si="4"/>
        <v>-2200</v>
      </c>
    </row>
    <row r="150" spans="1:4" x14ac:dyDescent="0.3">
      <c r="A150" s="3" t="s">
        <v>138</v>
      </c>
      <c r="B150" s="4"/>
      <c r="C150" s="5">
        <f>1200</f>
        <v>1200</v>
      </c>
      <c r="D150" s="5">
        <f t="shared" si="4"/>
        <v>-1200</v>
      </c>
    </row>
    <row r="151" spans="1:4" x14ac:dyDescent="0.3">
      <c r="A151" s="3" t="s">
        <v>139</v>
      </c>
      <c r="B151" s="4"/>
      <c r="C151" s="5">
        <f>1100</f>
        <v>1100</v>
      </c>
      <c r="D151" s="5">
        <f t="shared" ref="D151:D182" si="5">(B151)-(C151)</f>
        <v>-1100</v>
      </c>
    </row>
    <row r="152" spans="1:4" x14ac:dyDescent="0.3">
      <c r="A152" s="3" t="s">
        <v>140</v>
      </c>
      <c r="B152" s="4"/>
      <c r="C152" s="5">
        <f>1000</f>
        <v>1000</v>
      </c>
      <c r="D152" s="5">
        <f t="shared" si="5"/>
        <v>-1000</v>
      </c>
    </row>
    <row r="153" spans="1:4" x14ac:dyDescent="0.3">
      <c r="A153" s="3" t="s">
        <v>141</v>
      </c>
      <c r="B153" s="6">
        <f>(((((((B145)+(B146))+(B147))+(B148))+(B149))+(B150))+(B151))+(B152)</f>
        <v>0</v>
      </c>
      <c r="C153" s="6">
        <f>(((((((C145)+(C146))+(C147))+(C148))+(C149))+(C150))+(C151))+(C152)</f>
        <v>13150</v>
      </c>
      <c r="D153" s="6">
        <f t="shared" si="5"/>
        <v>-13150</v>
      </c>
    </row>
    <row r="154" spans="1:4" x14ac:dyDescent="0.3">
      <c r="A154" s="3" t="s">
        <v>142</v>
      </c>
      <c r="B154" s="4"/>
      <c r="C154" s="4"/>
      <c r="D154" s="5">
        <f t="shared" si="5"/>
        <v>0</v>
      </c>
    </row>
    <row r="155" spans="1:4" x14ac:dyDescent="0.3">
      <c r="A155" s="3" t="s">
        <v>143</v>
      </c>
      <c r="B155" s="5">
        <f>1257.78</f>
        <v>1257.78</v>
      </c>
      <c r="C155" s="5">
        <f>930</f>
        <v>930</v>
      </c>
      <c r="D155" s="5">
        <f t="shared" si="5"/>
        <v>327.78</v>
      </c>
    </row>
    <row r="156" spans="1:4" x14ac:dyDescent="0.3">
      <c r="A156" s="3" t="s">
        <v>144</v>
      </c>
      <c r="B156" s="4"/>
      <c r="C156" s="5">
        <f>300</f>
        <v>300</v>
      </c>
      <c r="D156" s="5">
        <f t="shared" si="5"/>
        <v>-300</v>
      </c>
    </row>
    <row r="157" spans="1:4" x14ac:dyDescent="0.3">
      <c r="A157" s="3" t="s">
        <v>145</v>
      </c>
      <c r="B157" s="5">
        <f>288</f>
        <v>288</v>
      </c>
      <c r="C157" s="5">
        <f>1000</f>
        <v>1000</v>
      </c>
      <c r="D157" s="5">
        <f t="shared" si="5"/>
        <v>-712</v>
      </c>
    </row>
    <row r="158" spans="1:4" x14ac:dyDescent="0.3">
      <c r="A158" s="3" t="s">
        <v>146</v>
      </c>
      <c r="B158" s="4"/>
      <c r="C158" s="5">
        <f>22000</f>
        <v>22000</v>
      </c>
      <c r="D158" s="5">
        <f t="shared" si="5"/>
        <v>-22000</v>
      </c>
    </row>
    <row r="159" spans="1:4" x14ac:dyDescent="0.3">
      <c r="A159" s="3" t="s">
        <v>147</v>
      </c>
      <c r="B159" s="4"/>
      <c r="C159" s="5">
        <f>1200</f>
        <v>1200</v>
      </c>
      <c r="D159" s="5">
        <f t="shared" si="5"/>
        <v>-1200</v>
      </c>
    </row>
    <row r="160" spans="1:4" x14ac:dyDescent="0.3">
      <c r="A160" s="3" t="s">
        <v>148</v>
      </c>
      <c r="B160" s="4"/>
      <c r="C160" s="5">
        <f>7275</f>
        <v>7275</v>
      </c>
      <c r="D160" s="5">
        <f t="shared" si="5"/>
        <v>-7275</v>
      </c>
    </row>
    <row r="161" spans="1:4" x14ac:dyDescent="0.3">
      <c r="A161" s="3" t="s">
        <v>149</v>
      </c>
      <c r="B161" s="5">
        <f>33.04</f>
        <v>33.04</v>
      </c>
      <c r="C161" s="5">
        <f>200</f>
        <v>200</v>
      </c>
      <c r="D161" s="5">
        <f t="shared" si="5"/>
        <v>-166.96</v>
      </c>
    </row>
    <row r="162" spans="1:4" x14ac:dyDescent="0.3">
      <c r="A162" s="3" t="s">
        <v>150</v>
      </c>
      <c r="B162" s="5">
        <f>865.36</f>
        <v>865.36</v>
      </c>
      <c r="C162" s="5">
        <f>400</f>
        <v>400</v>
      </c>
      <c r="D162" s="5">
        <f t="shared" si="5"/>
        <v>465.36</v>
      </c>
    </row>
    <row r="163" spans="1:4" x14ac:dyDescent="0.3">
      <c r="A163" s="3" t="s">
        <v>151</v>
      </c>
      <c r="B163" s="4"/>
      <c r="C163" s="5">
        <f>1000</f>
        <v>1000</v>
      </c>
      <c r="D163" s="5">
        <f t="shared" si="5"/>
        <v>-1000</v>
      </c>
    </row>
    <row r="164" spans="1:4" x14ac:dyDescent="0.3">
      <c r="A164" s="3" t="s">
        <v>152</v>
      </c>
      <c r="B164" s="4"/>
      <c r="C164" s="5">
        <f>900</f>
        <v>900</v>
      </c>
      <c r="D164" s="5">
        <f t="shared" si="5"/>
        <v>-900</v>
      </c>
    </row>
    <row r="165" spans="1:4" x14ac:dyDescent="0.3">
      <c r="A165" s="3" t="s">
        <v>153</v>
      </c>
      <c r="B165" s="6">
        <f>((((((((((B154)+(B155))+(B156))+(B157))+(B158))+(B159))+(B160))+(B161))+(B162))+(B163))+(B164)</f>
        <v>2444.1799999999998</v>
      </c>
      <c r="C165" s="6">
        <f>((((((((((C154)+(C155))+(C156))+(C157))+(C158))+(C159))+(C160))+(C161))+(C162))+(C163))+(C164)</f>
        <v>35205</v>
      </c>
      <c r="D165" s="6">
        <f t="shared" si="5"/>
        <v>-32760.82</v>
      </c>
    </row>
    <row r="166" spans="1:4" x14ac:dyDescent="0.3">
      <c r="A166" s="3" t="s">
        <v>78</v>
      </c>
      <c r="B166" s="6">
        <f>(((B129)+(B144))+(B153))+(B165)</f>
        <v>3626.58</v>
      </c>
      <c r="C166" s="6">
        <f>(((C129)+(C144))+(C153))+(C165)</f>
        <v>56400</v>
      </c>
      <c r="D166" s="6">
        <f t="shared" si="5"/>
        <v>-52773.42</v>
      </c>
    </row>
    <row r="167" spans="1:4" x14ac:dyDescent="0.3">
      <c r="A167" s="3" t="s">
        <v>154</v>
      </c>
      <c r="B167" s="6">
        <f>((((B87)+(B108))+(B120))+(B128))+(B166)</f>
        <v>48858.35</v>
      </c>
      <c r="C167" s="6">
        <f>((((C87)+(C108))+(C120))+(C128))+(C166)</f>
        <v>226400</v>
      </c>
      <c r="D167" s="6">
        <f t="shared" si="5"/>
        <v>-177541.65</v>
      </c>
    </row>
    <row r="168" spans="1:4" x14ac:dyDescent="0.3">
      <c r="A168" s="3" t="s">
        <v>155</v>
      </c>
      <c r="B168" s="6">
        <f>B167</f>
        <v>48858.35</v>
      </c>
      <c r="C168" s="6">
        <f>C167</f>
        <v>226400</v>
      </c>
      <c r="D168" s="6">
        <f t="shared" si="5"/>
        <v>-177541.65</v>
      </c>
    </row>
    <row r="169" spans="1:4" x14ac:dyDescent="0.3">
      <c r="A169" s="3" t="s">
        <v>156</v>
      </c>
      <c r="B169" s="6">
        <f>(B85)-(B168)</f>
        <v>-27636.339999999997</v>
      </c>
      <c r="C169" s="6">
        <f>(C85)-(C168)</f>
        <v>0</v>
      </c>
      <c r="D169" s="6">
        <f t="shared" si="5"/>
        <v>-27636.339999999997</v>
      </c>
    </row>
    <row r="170" spans="1:4" x14ac:dyDescent="0.3">
      <c r="A170" s="3" t="s">
        <v>157</v>
      </c>
      <c r="B170" s="7">
        <f>(B63)+(B169)</f>
        <v>39968.25999999998</v>
      </c>
      <c r="C170" s="7">
        <f>(C63)+(C169)</f>
        <v>-10965</v>
      </c>
      <c r="D170" s="7">
        <f t="shared" si="5"/>
        <v>50933.25999999998</v>
      </c>
    </row>
    <row r="171" spans="1:4" x14ac:dyDescent="0.3">
      <c r="A171" s="3"/>
      <c r="B171" s="4"/>
      <c r="C171" s="4"/>
      <c r="D171" s="4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Lynn Jepsen</cp:lastModifiedBy>
  <dcterms:created xsi:type="dcterms:W3CDTF">2021-08-13T11:22:53Z</dcterms:created>
  <dcterms:modified xsi:type="dcterms:W3CDTF">2021-08-13T11:25:47Z</dcterms:modified>
</cp:coreProperties>
</file>